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360" yWindow="15" windowWidth="11085" windowHeight="5820" tabRatio="690" activeTab="0"/>
  </bookViews>
  <sheets>
    <sheet name="Main" sheetId="1" r:id="rId1"/>
    <sheet name="Parameters" sheetId="2" r:id="rId2"/>
    <sheet name="Help" sheetId="3" r:id="rId3"/>
    <sheet name="abridged Molodensky" sheetId="4" state="hidden" r:id="rId4"/>
    <sheet name="Krovák to S-JTSK" sheetId="5" state="hidden" r:id="rId5"/>
    <sheet name="S-JTSK to Krovák" sheetId="6" state="hidden" r:id="rId6"/>
    <sheet name="GK to S-42" sheetId="7" state="hidden" r:id="rId7"/>
    <sheet name="S-42 to GK" sheetId="8" state="hidden" r:id="rId8"/>
    <sheet name="UTM to WGS84" sheetId="9" state="hidden" r:id="rId9"/>
    <sheet name="WGS84 to UTM" sheetId="10" state="hidden" r:id="rId10"/>
  </sheets>
  <definedNames/>
  <calcPr fullCalcOnLoad="1"/>
</workbook>
</file>

<file path=xl/sharedStrings.xml><?xml version="1.0" encoding="utf-8"?>
<sst xmlns="http://schemas.openxmlformats.org/spreadsheetml/2006/main" count="302" uniqueCount="158">
  <si>
    <t>a1</t>
  </si>
  <si>
    <t>f1</t>
  </si>
  <si>
    <t>a2</t>
  </si>
  <si>
    <t>f2</t>
  </si>
  <si>
    <t>FI1</t>
  </si>
  <si>
    <t>LA1</t>
  </si>
  <si>
    <t>FI1 rad</t>
  </si>
  <si>
    <t>LA1 rad</t>
  </si>
  <si>
    <t>dX</t>
  </si>
  <si>
    <t>dY</t>
  </si>
  <si>
    <t>dZ</t>
  </si>
  <si>
    <t>M</t>
  </si>
  <si>
    <t>N</t>
  </si>
  <si>
    <t>e1</t>
  </si>
  <si>
    <t>dFI sec</t>
  </si>
  <si>
    <t>dLA sec</t>
  </si>
  <si>
    <t>FI2</t>
  </si>
  <si>
    <t>LA2</t>
  </si>
  <si>
    <t>S-JTSK</t>
  </si>
  <si>
    <t>latitude</t>
  </si>
  <si>
    <t>longitude</t>
  </si>
  <si>
    <t>S-42</t>
  </si>
  <si>
    <t>WGS84</t>
  </si>
  <si>
    <t>from S-JTSK</t>
  </si>
  <si>
    <t>from S-42</t>
  </si>
  <si>
    <t>from WGS84</t>
  </si>
  <si>
    <t>Ferro-Greenwich shift</t>
  </si>
  <si>
    <t>degrees</t>
  </si>
  <si>
    <t>minutes</t>
  </si>
  <si>
    <t>seconds</t>
  </si>
  <si>
    <t>from S-JTSK to WGS84</t>
  </si>
  <si>
    <t>from S-42 to S-JTSK</t>
  </si>
  <si>
    <t>check: they all should be 0:</t>
  </si>
  <si>
    <t>x</t>
  </si>
  <si>
    <t>y</t>
  </si>
  <si>
    <t>fi0</t>
  </si>
  <si>
    <t>la0</t>
  </si>
  <si>
    <t>fi0 rad</t>
  </si>
  <si>
    <t>betakv</t>
  </si>
  <si>
    <t>m</t>
  </si>
  <si>
    <t>gamma</t>
  </si>
  <si>
    <t>lambv</t>
  </si>
  <si>
    <t>ro1</t>
  </si>
  <si>
    <t>RGauss*scale</t>
  </si>
  <si>
    <t>c</t>
  </si>
  <si>
    <t>betav</t>
  </si>
  <si>
    <t>fi</t>
  </si>
  <si>
    <t>la</t>
  </si>
  <si>
    <t>a</t>
  </si>
  <si>
    <t>b</t>
  </si>
  <si>
    <t>e2</t>
  </si>
  <si>
    <t>FIn rad</t>
  </si>
  <si>
    <t>Vn</t>
  </si>
  <si>
    <t>fi n</t>
  </si>
  <si>
    <t>n</t>
  </si>
  <si>
    <t>k</t>
  </si>
  <si>
    <t>LA rad</t>
  </si>
  <si>
    <t>FIk</t>
  </si>
  <si>
    <t>tga</t>
  </si>
  <si>
    <t>tga2</t>
  </si>
  <si>
    <t>FI2 rad</t>
  </si>
  <si>
    <t>tga3</t>
  </si>
  <si>
    <t>FI3 rad</t>
  </si>
  <si>
    <t>tga4</t>
  </si>
  <si>
    <t>FI4 rad</t>
  </si>
  <si>
    <t>tga5</t>
  </si>
  <si>
    <t>FI rad</t>
  </si>
  <si>
    <t>FI</t>
  </si>
  <si>
    <t>LA Ferro</t>
  </si>
  <si>
    <t>LA Greenw</t>
  </si>
  <si>
    <t>FI deg</t>
  </si>
  <si>
    <t>FI min</t>
  </si>
  <si>
    <t>FI sec</t>
  </si>
  <si>
    <t>LA deg</t>
  </si>
  <si>
    <t>LA min</t>
  </si>
  <si>
    <t>LA sec</t>
  </si>
  <si>
    <t>dec degree</t>
  </si>
  <si>
    <t>LA Gr</t>
  </si>
  <si>
    <t>LA</t>
  </si>
  <si>
    <t>la0 rad</t>
  </si>
  <si>
    <t>ro0</t>
  </si>
  <si>
    <t>FIn</t>
  </si>
  <si>
    <t>X</t>
  </si>
  <si>
    <t>Y</t>
  </si>
  <si>
    <t>e</t>
  </si>
  <si>
    <t>FE</t>
  </si>
  <si>
    <t>FN</t>
  </si>
  <si>
    <t>lambda0</t>
  </si>
  <si>
    <t>lambda0(rad)</t>
  </si>
  <si>
    <t>fi0 (rad)</t>
  </si>
  <si>
    <t>k0</t>
  </si>
  <si>
    <t>M0</t>
  </si>
  <si>
    <t>mu</t>
  </si>
  <si>
    <t>fi1</t>
  </si>
  <si>
    <t>e'2</t>
  </si>
  <si>
    <t>C1</t>
  </si>
  <si>
    <t>T1</t>
  </si>
  <si>
    <t>N1</t>
  </si>
  <si>
    <t>R1</t>
  </si>
  <si>
    <t>D</t>
  </si>
  <si>
    <t>fi (rad)</t>
  </si>
  <si>
    <t>lambda (rad)</t>
  </si>
  <si>
    <t>lambda</t>
  </si>
  <si>
    <t>T</t>
  </si>
  <si>
    <t>C</t>
  </si>
  <si>
    <t>A</t>
  </si>
  <si>
    <t>ZONE</t>
  </si>
  <si>
    <t>datum</t>
  </si>
  <si>
    <t>Moldensky shift parameters (m)</t>
  </si>
  <si>
    <r>
      <t xml:space="preserve">Equations derived by </t>
    </r>
    <r>
      <rPr>
        <b/>
        <sz val="10"/>
        <rFont val="Arial"/>
        <family val="2"/>
      </rPr>
      <t>József Varga</t>
    </r>
    <r>
      <rPr>
        <sz val="10"/>
        <rFont val="Arial"/>
        <family val="0"/>
      </rPr>
      <t xml:space="preserve"> (Technical University of Budapest) and </t>
    </r>
    <r>
      <rPr>
        <b/>
        <sz val="10"/>
        <rFont val="Arial"/>
        <family val="2"/>
      </rPr>
      <t>Gábor Virág</t>
    </r>
    <r>
      <rPr>
        <sz val="10"/>
        <rFont val="Arial"/>
        <family val="0"/>
      </rPr>
      <t xml:space="preserve"> (FÖMI Space Geodesy Observatory,</t>
    </r>
  </si>
  <si>
    <r>
      <t xml:space="preserve">Compiled by </t>
    </r>
    <r>
      <rPr>
        <b/>
        <sz val="10"/>
        <rFont val="Arial"/>
        <family val="2"/>
      </rPr>
      <t>Gábor Timár</t>
    </r>
    <r>
      <rPr>
        <sz val="10"/>
        <rFont val="Arial"/>
        <family val="0"/>
      </rPr>
      <t xml:space="preserve">, Eötvös University of Budapest, e-mail: </t>
    </r>
    <r>
      <rPr>
        <u val="single"/>
        <sz val="10"/>
        <color indexed="12"/>
        <rFont val="Arial"/>
        <family val="2"/>
      </rPr>
      <t>timar@ludens.elte.hu</t>
    </r>
  </si>
  <si>
    <t>latitude (dms)</t>
  </si>
  <si>
    <t>longitude (dms)</t>
  </si>
  <si>
    <t>Penc, Hungary) were used for computing the Krovák projection.</t>
  </si>
  <si>
    <t>Majster V1.0</t>
  </si>
  <si>
    <t>PARAMETER PAGE</t>
  </si>
  <si>
    <t>HELP PAGE</t>
  </si>
  <si>
    <t>Usage:</t>
  </si>
  <si>
    <t>e.g. in Krovák, select the box "from Krovák", write your Krovák coordinates to the Input cells, and</t>
  </si>
  <si>
    <t>the resulting Gauss-Krüger and UTM coordinates will appear below.</t>
  </si>
  <si>
    <t>Besides the grid coordinates, geodetic coordinates on the appropriate datum appear. Do not edit them.</t>
  </si>
  <si>
    <t>When you use one selected box, coordinates in the other two boxes won't change.</t>
  </si>
  <si>
    <t>Method:</t>
  </si>
  <si>
    <t>The software uses the direct and reverse equations of the Krovák, Gauss-Krüger and UTM projections</t>
  </si>
  <si>
    <t>(find them in the hidden worksheets). Simple 'abridged Molodensky' equations are used in the</t>
  </si>
  <si>
    <t>datum shift transformation. Krovák grid coordinates are interpreted on S-JTSK datum, Gauss-Krüger</t>
  </si>
  <si>
    <t>coordinates on S-42 datum and UTM coordinates on WGS84 datum. No other interpretations can be set.</t>
  </si>
  <si>
    <t>Concerning the Gauss-Krüger and UTM, the meridians of 0, 6, 12, 18, etc. degrees are real discrimination</t>
  </si>
  <si>
    <t>lines: zone numbers are depending directly on longitudes. E.g. you cannot calculate the UTM Zone 33</t>
  </si>
  <si>
    <t>coordinates of a point situated east of 18 degree in this version.</t>
  </si>
  <si>
    <t>Accuracy:</t>
  </si>
  <si>
    <t>Parameters:</t>
  </si>
  <si>
    <t>The Molodensky shift parameters and the Ferro-Greenwich shift constant (for the Krovák grid) can be</t>
  </si>
  <si>
    <t>set in the Parameters page. Edit them with caution.</t>
  </si>
  <si>
    <t>The grid equations are accurate to millimeter-order. The abridged Molodensky method provides</t>
  </si>
  <si>
    <t>not so good accuracy: between UTM and Gauss-Krüger its error is up to 2 meters. If Krovák/S-JTSK</t>
  </si>
  <si>
    <t>is involved, the error is up to 3,5 meters.</t>
  </si>
  <si>
    <t>Request:</t>
  </si>
  <si>
    <t>Use with caution.</t>
  </si>
  <si>
    <r>
      <t xml:space="preserve">Please note all of your changes to </t>
    </r>
    <r>
      <rPr>
        <u val="single"/>
        <sz val="10"/>
        <color indexed="12"/>
        <rFont val="Arial"/>
        <family val="2"/>
      </rPr>
      <t>timar@ludens.elte.hu</t>
    </r>
    <r>
      <rPr>
        <sz val="10"/>
        <rFont val="Arial"/>
        <family val="0"/>
      </rPr>
      <t>, along with the modified table.</t>
    </r>
  </si>
  <si>
    <t>FILL THE GREEN FIELDS WITH THE SELECTED PARAMETERS.</t>
  </si>
  <si>
    <t>The Main Page contains three independent calculator boxes. If you have the coordinates to transform</t>
  </si>
  <si>
    <r>
      <t xml:space="preserve">  John P. Snyder</t>
    </r>
    <r>
      <rPr>
        <sz val="10"/>
        <rFont val="Arial"/>
        <family val="0"/>
      </rPr>
      <t xml:space="preserve"> (1987): Map projections - a working manual. </t>
    </r>
    <r>
      <rPr>
        <i/>
        <sz val="10"/>
        <rFont val="Arial"/>
        <family val="2"/>
      </rPr>
      <t>USGS Prof. Paper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1395</t>
    </r>
    <r>
      <rPr>
        <sz val="10"/>
        <rFont val="Arial"/>
        <family val="0"/>
      </rPr>
      <t>: 1-261</t>
    </r>
  </si>
  <si>
    <r>
      <t>References: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František Kuska</t>
    </r>
    <r>
      <rPr>
        <sz val="10"/>
        <rFont val="Arial"/>
        <family val="0"/>
      </rPr>
      <t xml:space="preserve"> (1960): Matematická Kartografia. Slovenské Vydateľstvo Technickej Literatúry, Bratislava, 388 p.</t>
    </r>
  </si>
  <si>
    <t>from WGS84 to S-42 (CS)</t>
  </si>
  <si>
    <t>Transformace mezy souřadnicovými systémy S-JTSK, S-42 a UTM</t>
  </si>
  <si>
    <t>Freeware - o veškerých Vašich změnách prosím informujte autora na email uvedený níže</t>
  </si>
  <si>
    <t>přesnost transformací ~3 metry (viz. Help)</t>
  </si>
  <si>
    <t>Editujte pouze CYAN buňky.</t>
  </si>
  <si>
    <t>Výsledky jsou uvedeny červeně</t>
  </si>
  <si>
    <t>z S-JTSK</t>
  </si>
  <si>
    <t>vstup ----&gt;</t>
  </si>
  <si>
    <t>do S-42</t>
  </si>
  <si>
    <t>do UTM</t>
  </si>
  <si>
    <t>do S-JTSK</t>
  </si>
  <si>
    <t>z S-42</t>
  </si>
  <si>
    <t>z UTM</t>
  </si>
  <si>
    <t>http://sas2.elte.hu/tg/majster.htm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</si>
</sst>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Zone&quot;\ #"/>
    <numFmt numFmtId="174" formatCode="0.0000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2" fillId="0" borderId="0" xfId="0" applyFont="1" applyAlignment="1">
      <alignment/>
    </xf>
    <xf numFmtId="0" fontId="1" fillId="4" borderId="2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0" fontId="2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7" xfId="0" applyNumberFormat="1" applyFont="1" applyBorder="1" applyAlignment="1">
      <alignment/>
    </xf>
    <xf numFmtId="174" fontId="3" fillId="0" borderId="3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0" fillId="6" borderId="5" xfId="0" applyFill="1" applyBorder="1" applyAlignment="1">
      <alignment horizontal="center"/>
    </xf>
    <xf numFmtId="1" fontId="0" fillId="7" borderId="9" xfId="0" applyNumberFormat="1" applyFill="1" applyBorder="1" applyAlignment="1">
      <alignment/>
    </xf>
    <xf numFmtId="1" fontId="0" fillId="7" borderId="10" xfId="0" applyNumberFormat="1" applyFill="1" applyBorder="1" applyAlignment="1">
      <alignment/>
    </xf>
    <xf numFmtId="173" fontId="0" fillId="7" borderId="10" xfId="0" applyNumberFormat="1" applyFill="1" applyBorder="1" applyAlignment="1">
      <alignment/>
    </xf>
    <xf numFmtId="1" fontId="0" fillId="7" borderId="11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4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s2.elte.hu/tg/majster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indowProtection="1" tabSelected="1" workbookViewId="0" topLeftCell="A1">
      <selection activeCell="A28" sqref="A28"/>
    </sheetView>
  </sheetViews>
  <sheetFormatPr defaultColWidth="9.140625" defaultRowHeight="12.75"/>
  <cols>
    <col min="5" max="5" width="7.7109375" style="0" customWidth="1"/>
    <col min="9" max="10" width="3.57421875" style="0" customWidth="1"/>
    <col min="11" max="11" width="5.7109375" style="0" customWidth="1"/>
    <col min="12" max="13" width="3.57421875" style="0" customWidth="1"/>
    <col min="14" max="14" width="6.28125" style="0" customWidth="1"/>
  </cols>
  <sheetData>
    <row r="1" ht="12.75">
      <c r="A1" s="19" t="s">
        <v>145</v>
      </c>
    </row>
    <row r="2" spans="1:3" ht="12.75">
      <c r="A2" s="47" t="s">
        <v>114</v>
      </c>
      <c r="C2" t="s">
        <v>146</v>
      </c>
    </row>
    <row r="3" ht="12.75">
      <c r="A3" t="s">
        <v>147</v>
      </c>
    </row>
    <row r="4" spans="1:4" ht="13.5" thickBot="1">
      <c r="A4" s="19" t="s">
        <v>148</v>
      </c>
      <c r="D4" t="s">
        <v>149</v>
      </c>
    </row>
    <row r="5" spans="1:14" ht="13.5" thickBot="1">
      <c r="A5" s="35" t="s">
        <v>150</v>
      </c>
      <c r="B5" s="36"/>
      <c r="C5" s="50" t="s">
        <v>83</v>
      </c>
      <c r="D5" s="50" t="s">
        <v>82</v>
      </c>
      <c r="E5" s="36"/>
      <c r="F5" s="37" t="s">
        <v>107</v>
      </c>
      <c r="G5" s="36" t="s">
        <v>19</v>
      </c>
      <c r="H5" s="38" t="s">
        <v>20</v>
      </c>
      <c r="I5" s="36" t="s">
        <v>111</v>
      </c>
      <c r="J5" s="36"/>
      <c r="K5" s="36"/>
      <c r="L5" s="36" t="s">
        <v>112</v>
      </c>
      <c r="M5" s="36"/>
      <c r="N5" s="38"/>
    </row>
    <row r="6" spans="1:14" ht="13.5" thickBot="1">
      <c r="A6" s="39"/>
      <c r="B6" s="40" t="s">
        <v>151</v>
      </c>
      <c r="C6" s="51">
        <v>700000</v>
      </c>
      <c r="D6" s="52">
        <v>1040000</v>
      </c>
      <c r="E6" s="2"/>
      <c r="F6" s="1" t="s">
        <v>18</v>
      </c>
      <c r="G6" s="43">
        <f>'Krovák to S-JTSK'!AL2</f>
        <v>50.16606324822101</v>
      </c>
      <c r="H6" s="44">
        <f>'Krovák to S-JTSK'!AN2</f>
        <v>15.010306107087434</v>
      </c>
      <c r="I6" s="27">
        <f>TRUNC(G6)</f>
        <v>50</v>
      </c>
      <c r="J6" s="27">
        <f>TRUNC((G6-I6)*60)</f>
        <v>9</v>
      </c>
      <c r="K6" s="30">
        <f>3600*(G6-I6-J6/60)</f>
        <v>57.82769359562737</v>
      </c>
      <c r="L6" s="27">
        <f>TRUNC(H6)</f>
        <v>15</v>
      </c>
      <c r="M6" s="27">
        <f>TRUNC((H6-L6)*60)</f>
        <v>0</v>
      </c>
      <c r="N6" s="31">
        <f>3600*(H6-L6-M6/60)</f>
        <v>37.10198551476225</v>
      </c>
    </row>
    <row r="7" spans="1:14" ht="12.75">
      <c r="A7" s="39" t="s">
        <v>152</v>
      </c>
      <c r="B7" s="40"/>
      <c r="C7" s="25">
        <f>'S-42 to GK'!W2</f>
        <v>3500780.8448637417</v>
      </c>
      <c r="D7" s="25">
        <f>'S-42 to GK'!X2</f>
        <v>5559379.584090354</v>
      </c>
      <c r="E7" s="2"/>
      <c r="F7" s="1" t="s">
        <v>21</v>
      </c>
      <c r="G7" s="43">
        <f>'abridged Molodensky'!Q3</f>
        <v>50.165734380275644</v>
      </c>
      <c r="H7" s="44">
        <f>'abridged Molodensky'!R3</f>
        <v>15.01092852324472</v>
      </c>
      <c r="I7" s="27">
        <f>TRUNC(G7)</f>
        <v>50</v>
      </c>
      <c r="J7" s="27">
        <f>TRUNC((G7-I7)*60)</f>
        <v>9</v>
      </c>
      <c r="K7" s="30">
        <f>3600*(G7-I7-J7/60)</f>
        <v>56.6437689923197</v>
      </c>
      <c r="L7" s="27">
        <f>TRUNC(H7)</f>
        <v>15</v>
      </c>
      <c r="M7" s="27">
        <f>TRUNC((H7-L7)*60)</f>
        <v>0</v>
      </c>
      <c r="N7" s="31">
        <f>3600*(H7-L7-M7/60)</f>
        <v>39.34268368099296</v>
      </c>
    </row>
    <row r="8" spans="1:14" ht="13.5" thickBot="1">
      <c r="A8" s="41" t="s">
        <v>153</v>
      </c>
      <c r="B8" s="42"/>
      <c r="C8" s="26">
        <f>'WGS84 to UTM'!W2</f>
        <v>500656.9530979293</v>
      </c>
      <c r="D8" s="26">
        <f>'WGS84 to UTM'!X2</f>
        <v>5557015.604362523</v>
      </c>
      <c r="E8" s="34">
        <f>'WGS84 to UTM'!Y2</f>
        <v>33</v>
      </c>
      <c r="F8" s="3" t="s">
        <v>22</v>
      </c>
      <c r="G8" s="45">
        <f>'abridged Molodensky'!Q4</f>
        <v>50.16535205300534</v>
      </c>
      <c r="H8" s="46">
        <f>'abridged Molodensky'!R4</f>
        <v>15.009198321942844</v>
      </c>
      <c r="I8" s="28">
        <f>TRUNC(G8)</f>
        <v>50</v>
      </c>
      <c r="J8" s="28">
        <f>TRUNC((G8-I8)*60)</f>
        <v>9</v>
      </c>
      <c r="K8" s="32">
        <f>3600*(G8-I8-J8/60)</f>
        <v>55.26739081923383</v>
      </c>
      <c r="L8" s="28">
        <f>TRUNC(H8)</f>
        <v>15</v>
      </c>
      <c r="M8" s="28">
        <f>TRUNC((H8-L8)*60)</f>
        <v>0</v>
      </c>
      <c r="N8" s="33">
        <f>3600*(H8-L8-M8/60)</f>
        <v>33.113958994236725</v>
      </c>
    </row>
    <row r="9" spans="9:14" ht="13.5" thickBot="1">
      <c r="I9" s="24"/>
      <c r="J9" s="24"/>
      <c r="K9" s="29"/>
      <c r="L9" s="24"/>
      <c r="M9" s="24"/>
      <c r="N9" s="29"/>
    </row>
    <row r="10" spans="1:14" ht="13.5" thickBot="1">
      <c r="A10" s="35" t="s">
        <v>155</v>
      </c>
      <c r="B10" s="36"/>
      <c r="C10" s="50" t="s">
        <v>83</v>
      </c>
      <c r="D10" s="50" t="s">
        <v>82</v>
      </c>
      <c r="E10" s="36"/>
      <c r="F10" s="37" t="s">
        <v>107</v>
      </c>
      <c r="G10" s="36" t="s">
        <v>19</v>
      </c>
      <c r="H10" s="38" t="s">
        <v>20</v>
      </c>
      <c r="I10" s="36" t="s">
        <v>111</v>
      </c>
      <c r="J10" s="36"/>
      <c r="K10" s="36"/>
      <c r="L10" s="36" t="s">
        <v>112</v>
      </c>
      <c r="M10" s="36"/>
      <c r="N10" s="38"/>
    </row>
    <row r="11" spans="1:14" ht="13.5" thickBot="1">
      <c r="A11" s="39"/>
      <c r="B11" s="40" t="s">
        <v>151</v>
      </c>
      <c r="C11" s="51">
        <v>4350000</v>
      </c>
      <c r="D11" s="52">
        <v>5350000</v>
      </c>
      <c r="E11" s="2"/>
      <c r="F11" s="1" t="s">
        <v>21</v>
      </c>
      <c r="G11" s="43">
        <f>'GK to S-42'!AA2</f>
        <v>48.26534320409736</v>
      </c>
      <c r="H11" s="44">
        <f>'GK to S-42'!AB2</f>
        <v>18.97956345921884</v>
      </c>
      <c r="I11" s="27">
        <f>TRUNC(G11)</f>
        <v>48</v>
      </c>
      <c r="J11" s="27">
        <f>TRUNC((G11-I11)*60)</f>
        <v>15</v>
      </c>
      <c r="K11" s="30">
        <f>3600*(G11-I11-J11/60)</f>
        <v>55.23553475050562</v>
      </c>
      <c r="L11" s="27">
        <f>TRUNC(H11)</f>
        <v>18</v>
      </c>
      <c r="M11" s="27">
        <f>TRUNC((H11-L11)*60)</f>
        <v>58</v>
      </c>
      <c r="N11" s="31">
        <f>3600*(H11-L11-M11/60)</f>
        <v>46.428453187828865</v>
      </c>
    </row>
    <row r="12" spans="1:14" ht="12.75">
      <c r="A12" s="39" t="s">
        <v>154</v>
      </c>
      <c r="B12" s="40"/>
      <c r="C12" s="25">
        <f>'S-JTSK to Krovák'!AG2</f>
        <v>434081.98491640197</v>
      </c>
      <c r="D12" s="25">
        <f>'S-JTSK to Krovák'!AF2</f>
        <v>1279750.1123920048</v>
      </c>
      <c r="E12" s="2"/>
      <c r="F12" s="1" t="s">
        <v>18</v>
      </c>
      <c r="G12" s="43">
        <f>'abridged Molodensky'!Q6</f>
        <v>48.26543554579176</v>
      </c>
      <c r="H12" s="44">
        <f>'abridged Molodensky'!R6</f>
        <v>18.979520559106835</v>
      </c>
      <c r="I12" s="27">
        <f>TRUNC(G12)</f>
        <v>48</v>
      </c>
      <c r="J12" s="27">
        <f>TRUNC((G12-I12)*60)</f>
        <v>15</v>
      </c>
      <c r="K12" s="30">
        <f>3600*(G12-I12-J12/60)</f>
        <v>55.56796485033715</v>
      </c>
      <c r="L12" s="27">
        <f>TRUNC(H12)</f>
        <v>18</v>
      </c>
      <c r="M12" s="27">
        <f>TRUNC((H12-L12)*60)</f>
        <v>58</v>
      </c>
      <c r="N12" s="31">
        <f>3600*(H12-L12-M12/60)</f>
        <v>46.274012784604366</v>
      </c>
    </row>
    <row r="13" spans="1:14" ht="13.5" thickBot="1">
      <c r="A13" s="41" t="s">
        <v>153</v>
      </c>
      <c r="B13" s="42"/>
      <c r="C13" s="26">
        <f>'WGS84 to UTM'!W3</f>
        <v>349938.67435147834</v>
      </c>
      <c r="D13" s="26">
        <f>'WGS84 to UTM'!X3</f>
        <v>5347730.908911206</v>
      </c>
      <c r="E13" s="34">
        <f>'WGS84 to UTM'!Y3</f>
        <v>34</v>
      </c>
      <c r="F13" s="3" t="s">
        <v>22</v>
      </c>
      <c r="G13" s="45">
        <f>'abridged Molodensky'!Q7</f>
        <v>48.26499951872721</v>
      </c>
      <c r="H13" s="46">
        <f>'abridged Molodensky'!R7</f>
        <v>18.977908385940463</v>
      </c>
      <c r="I13" s="28">
        <f>TRUNC(G13)</f>
        <v>48</v>
      </c>
      <c r="J13" s="28">
        <f>TRUNC((G13-I13)*60)</f>
        <v>15</v>
      </c>
      <c r="K13" s="32">
        <f>3600*(G13-I13-J13/60)</f>
        <v>53.99826741794982</v>
      </c>
      <c r="L13" s="28">
        <f>TRUNC(H13)</f>
        <v>18</v>
      </c>
      <c r="M13" s="28">
        <f>TRUNC((H13-L13)*60)</f>
        <v>58</v>
      </c>
      <c r="N13" s="33">
        <f>3600*(H13-L13-M13/60)</f>
        <v>40.47018938566649</v>
      </c>
    </row>
    <row r="14" spans="9:14" ht="13.5" thickBot="1">
      <c r="I14" s="24"/>
      <c r="J14" s="24"/>
      <c r="K14" s="29"/>
      <c r="L14" s="24"/>
      <c r="M14" s="24"/>
      <c r="N14" s="29"/>
    </row>
    <row r="15" spans="1:14" ht="13.5" thickBot="1">
      <c r="A15" s="35" t="s">
        <v>156</v>
      </c>
      <c r="B15" s="36"/>
      <c r="C15" s="50" t="s">
        <v>83</v>
      </c>
      <c r="D15" s="50" t="s">
        <v>82</v>
      </c>
      <c r="E15" s="36"/>
      <c r="F15" s="37" t="s">
        <v>107</v>
      </c>
      <c r="G15" s="36" t="s">
        <v>19</v>
      </c>
      <c r="H15" s="38" t="s">
        <v>20</v>
      </c>
      <c r="I15" s="36" t="s">
        <v>111</v>
      </c>
      <c r="J15" s="36"/>
      <c r="K15" s="36"/>
      <c r="L15" s="36" t="s">
        <v>112</v>
      </c>
      <c r="M15" s="36"/>
      <c r="N15" s="38"/>
    </row>
    <row r="16" spans="1:14" ht="13.5" thickBot="1">
      <c r="A16" s="39"/>
      <c r="B16" s="40" t="s">
        <v>151</v>
      </c>
      <c r="C16" s="51">
        <v>404000</v>
      </c>
      <c r="D16" s="54">
        <v>5341820</v>
      </c>
      <c r="E16" s="53">
        <v>34</v>
      </c>
      <c r="F16" s="1" t="s">
        <v>22</v>
      </c>
      <c r="G16" s="43">
        <f>'UTM to WGS84'!AB2</f>
        <v>48.222336111836604</v>
      </c>
      <c r="H16" s="44">
        <f>'UTM to WGS84'!AC2</f>
        <v>19.707483608626976</v>
      </c>
      <c r="I16" s="27">
        <f>TRUNC(G16)</f>
        <v>48</v>
      </c>
      <c r="J16" s="27">
        <f>TRUNC((G16-I16)*60)</f>
        <v>13</v>
      </c>
      <c r="K16" s="30">
        <f>3600*(G16-I16-J16/60)</f>
        <v>20.41000261177541</v>
      </c>
      <c r="L16" s="27">
        <f>TRUNC(H16)</f>
        <v>19</v>
      </c>
      <c r="M16" s="27">
        <f>TRUNC((H16-L16)*60)</f>
        <v>42</v>
      </c>
      <c r="N16" s="31">
        <f>3600*(H16-L16-M16/60)</f>
        <v>26.940991057114605</v>
      </c>
    </row>
    <row r="17" spans="1:14" ht="12.75">
      <c r="A17" s="39" t="s">
        <v>154</v>
      </c>
      <c r="B17" s="40"/>
      <c r="C17" s="25">
        <f>'S-JTSK to Krovák'!AG3</f>
        <v>380376.4366383399</v>
      </c>
      <c r="D17" s="25">
        <f>'S-JTSK to Krovák'!AF3</f>
        <v>1288361.4361780346</v>
      </c>
      <c r="E17" s="2"/>
      <c r="F17" s="1" t="s">
        <v>18</v>
      </c>
      <c r="G17" s="43">
        <f>'abridged Molodensky'!Q9</f>
        <v>48.22275006536022</v>
      </c>
      <c r="H17" s="44">
        <f>'abridged Molodensky'!R9</f>
        <v>19.709193784006278</v>
      </c>
      <c r="I17" s="27">
        <f>TRUNC(G17)</f>
        <v>48</v>
      </c>
      <c r="J17" s="27">
        <f>TRUNC((G17-I17)*60)</f>
        <v>13</v>
      </c>
      <c r="K17" s="30">
        <f>3600*(G17-I17-J17/60)</f>
        <v>21.900235296804425</v>
      </c>
      <c r="L17" s="27">
        <f>TRUNC(H17)</f>
        <v>19</v>
      </c>
      <c r="M17" s="27">
        <f>TRUNC((H17-L17)*60)</f>
        <v>42</v>
      </c>
      <c r="N17" s="31">
        <f>3600*(H17-L17-M17/60)</f>
        <v>33.097622422599656</v>
      </c>
    </row>
    <row r="18" spans="1:14" ht="13.5" thickBot="1">
      <c r="A18" s="41" t="s">
        <v>152</v>
      </c>
      <c r="B18" s="42"/>
      <c r="C18" s="26">
        <f>'S-42 to GK'!W3</f>
        <v>4404083.274446037</v>
      </c>
      <c r="D18" s="26">
        <f>'S-42 to GK'!X3</f>
        <v>5344085.972024439</v>
      </c>
      <c r="E18" s="4"/>
      <c r="F18" s="3" t="s">
        <v>21</v>
      </c>
      <c r="G18" s="45">
        <f>'abridged Molodensky'!Q10</f>
        <v>48.2226633568187</v>
      </c>
      <c r="H18" s="46">
        <f>'abridged Molodensky'!R10</f>
        <v>19.709134664311826</v>
      </c>
      <c r="I18" s="28">
        <f>TRUNC(G18)</f>
        <v>48</v>
      </c>
      <c r="J18" s="28">
        <f>TRUNC((G18-I18)*60)</f>
        <v>13</v>
      </c>
      <c r="K18" s="32">
        <f>3600*(G18-I18-J18/60)</f>
        <v>21.588084547319085</v>
      </c>
      <c r="L18" s="28">
        <f>TRUNC(H18)</f>
        <v>19</v>
      </c>
      <c r="M18" s="28">
        <f>TRUNC((H18-L18)*60)</f>
        <v>42</v>
      </c>
      <c r="N18" s="33">
        <f>3600*(H18-L18-M18/60)</f>
        <v>32.884791522572684</v>
      </c>
    </row>
    <row r="19" spans="1:14" ht="12.75">
      <c r="A19" s="22"/>
      <c r="B19" s="22"/>
      <c r="C19" s="25"/>
      <c r="D19" s="25"/>
      <c r="E19" s="2"/>
      <c r="F19" s="2"/>
      <c r="G19" s="43"/>
      <c r="H19" s="43"/>
      <c r="I19" s="27"/>
      <c r="J19" s="27"/>
      <c r="K19" s="30"/>
      <c r="L19" s="27"/>
      <c r="M19" s="27"/>
      <c r="N19" s="30"/>
    </row>
    <row r="20" spans="1:14" ht="12.75">
      <c r="A20" s="22"/>
      <c r="B20" s="22"/>
      <c r="C20" s="25"/>
      <c r="D20" s="25"/>
      <c r="E20" s="2"/>
      <c r="F20" s="2"/>
      <c r="G20" s="43"/>
      <c r="H20" s="43"/>
      <c r="I20" s="27"/>
      <c r="J20" s="27"/>
      <c r="K20" s="30"/>
      <c r="L20" s="27"/>
      <c r="M20" s="27"/>
      <c r="N20" s="30"/>
    </row>
    <row r="21" ht="12.75">
      <c r="A21" t="s">
        <v>110</v>
      </c>
    </row>
    <row r="22" ht="12.75">
      <c r="A22" s="62" t="s">
        <v>157</v>
      </c>
    </row>
    <row r="23" ht="12.75">
      <c r="A23" s="48" t="s">
        <v>143</v>
      </c>
    </row>
    <row r="24" ht="12.75">
      <c r="B24" s="19" t="s">
        <v>142</v>
      </c>
    </row>
    <row r="25" ht="12.75">
      <c r="A25" t="s">
        <v>109</v>
      </c>
    </row>
    <row r="26" ht="12.75">
      <c r="B26" t="s">
        <v>113</v>
      </c>
    </row>
  </sheetData>
  <sheetProtection/>
  <protectedRanges>
    <protectedRange sqref="C6:D6" name="JTSK"/>
    <protectedRange sqref="C11:D11" name="S42"/>
    <protectedRange sqref="C16:E16" name="UTM"/>
  </protectedRanges>
  <hyperlinks>
    <hyperlink ref="A22" r:id="rId1" display="http://sas2.elte.hu/tg/majster.htm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"/>
  <sheetViews>
    <sheetView windowProtection="1" workbookViewId="0" topLeftCell="A1">
      <selection activeCell="A3" sqref="A3"/>
    </sheetView>
  </sheetViews>
  <sheetFormatPr defaultColWidth="9.140625" defaultRowHeight="12.75"/>
  <sheetData>
    <row r="1" spans="1:25" ht="12.75">
      <c r="A1" t="s">
        <v>46</v>
      </c>
      <c r="B1" t="s">
        <v>102</v>
      </c>
      <c r="C1" t="s">
        <v>48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35</v>
      </c>
      <c r="J1" t="s">
        <v>89</v>
      </c>
      <c r="K1" t="s">
        <v>90</v>
      </c>
      <c r="L1" t="s">
        <v>100</v>
      </c>
      <c r="M1" t="s">
        <v>101</v>
      </c>
      <c r="N1" t="s">
        <v>94</v>
      </c>
      <c r="O1" t="s">
        <v>12</v>
      </c>
      <c r="P1" t="s">
        <v>103</v>
      </c>
      <c r="Q1" t="s">
        <v>104</v>
      </c>
      <c r="R1" t="s">
        <v>105</v>
      </c>
      <c r="S1" t="s">
        <v>11</v>
      </c>
      <c r="T1" t="s">
        <v>91</v>
      </c>
      <c r="U1" t="s">
        <v>33</v>
      </c>
      <c r="V1" t="s">
        <v>34</v>
      </c>
      <c r="W1" t="s">
        <v>82</v>
      </c>
      <c r="X1" t="s">
        <v>83</v>
      </c>
      <c r="Y1" t="s">
        <v>106</v>
      </c>
    </row>
    <row r="2" spans="1:25" ht="12.75">
      <c r="A2" s="23">
        <f>Main!G8</f>
        <v>50.16535205300534</v>
      </c>
      <c r="B2" s="23">
        <f>Main!H8</f>
        <v>15.009198321942844</v>
      </c>
      <c r="C2">
        <f>6378137</f>
        <v>6378137</v>
      </c>
      <c r="D2">
        <v>0.08181919084693119</v>
      </c>
      <c r="E2">
        <f>500000</f>
        <v>500000</v>
      </c>
      <c r="F2">
        <v>0</v>
      </c>
      <c r="G2">
        <f>21+6*(TRUNC(B2/6)-3)</f>
        <v>15</v>
      </c>
      <c r="H2">
        <f>G2*PI()/180</f>
        <v>0.2617993877991494</v>
      </c>
      <c r="I2">
        <v>0</v>
      </c>
      <c r="J2">
        <f>I2*PI()/180</f>
        <v>0</v>
      </c>
      <c r="K2">
        <v>0.9996</v>
      </c>
      <c r="L2">
        <f>A2*PI()/180</f>
        <v>0.8755505637470402</v>
      </c>
      <c r="M2">
        <f>B2*PI()/180</f>
        <v>0.26195992880271046</v>
      </c>
      <c r="N2">
        <f>D2*D2/(1-D2*D2)</f>
        <v>0.006739496742991205</v>
      </c>
      <c r="O2">
        <f>C2/SQRT(1-D2*D2*SIN(L2)*SIN(L2))</f>
        <v>6390763.048370765</v>
      </c>
      <c r="P2">
        <f>TAN(L2)*TAN(L2)</f>
        <v>1.437031496890736</v>
      </c>
      <c r="Q2">
        <f>N2*COS(L2)*COS(L2)</f>
        <v>0.002765453278543888</v>
      </c>
      <c r="R2">
        <f>(M2-H2)*COS(L2)</f>
        <v>0.00010283842161753054</v>
      </c>
      <c r="S2">
        <f>C2*(L2*(1-D2*D2/4-3*POWER(D2,4)/64-5*POWER(D2,6)/256)-SIN(2*L2)*(3*D2*D2/8+3*POWER(D2,4)/32+45*POWER(D2,6)/1024)+SIN(4*L2)*(15*POWER(D2,4)/256+45*POWER(D2,6)/1024)-SIN(6*L2)*35*POWER(D2,6)/3072)</f>
        <v>5559239.259572143</v>
      </c>
      <c r="T2">
        <f>C2*J2*((1-D2*D2/4-3*POWER(D2,4)/64-5*POWER(D2,6)/256)-SIN(2*J2)*(3*D2*D2/8+3*POWER(D2,4)/32+45*POWER(D2,6)/1024)+SIN(4*J2)*(15*POWER(D2,4)/256+45*POWER(D2,6)/1024)-SIN(6*J2)*35*POWER(D2,6)/3072)</f>
        <v>0</v>
      </c>
      <c r="U2">
        <f>K2*O2*(R2+(1-P2+Q2)*POWER(R2,3)/6+(5-18*P2+P2*P2+72*Q2-85*N2)*POWER(R2,5)/120)</f>
        <v>656.9530979292939</v>
      </c>
      <c r="V2">
        <f>K2*(S2-T2+O2*TAN(L2)*(R2*R2/2+(5-P2+9*Q2+4*Q2*Q2)*POWER(R2,4)/24+(61-58*P2+P2*P2+600*Q2-330*N2)*POWER(R2,6)/720))</f>
        <v>5557015.604362523</v>
      </c>
      <c r="W2" s="24">
        <f>U2+E2</f>
        <v>500656.9530979293</v>
      </c>
      <c r="X2" s="24">
        <f>V2+F2</f>
        <v>5557015.604362523</v>
      </c>
      <c r="Y2" s="24">
        <f>TRUNC(B2/6)+31</f>
        <v>33</v>
      </c>
    </row>
    <row r="3" spans="1:25" ht="12.75">
      <c r="A3" s="23">
        <f>Main!G13</f>
        <v>48.26499951872721</v>
      </c>
      <c r="B3" s="23">
        <f>Main!H13</f>
        <v>18.977908385940463</v>
      </c>
      <c r="C3">
        <f>6378137</f>
        <v>6378137</v>
      </c>
      <c r="D3">
        <v>0.08181919084693119</v>
      </c>
      <c r="E3">
        <f>500000</f>
        <v>500000</v>
      </c>
      <c r="F3">
        <v>0</v>
      </c>
      <c r="G3">
        <f>21+6*(TRUNC(B3/6)-3)</f>
        <v>21</v>
      </c>
      <c r="H3">
        <f>G3*PI()/180</f>
        <v>0.3665191429188092</v>
      </c>
      <c r="I3">
        <v>0</v>
      </c>
      <c r="J3">
        <f>I3*PI()/180</f>
        <v>0</v>
      </c>
      <c r="K3">
        <v>0.9996</v>
      </c>
      <c r="L3">
        <f>A3*PI()/180</f>
        <v>0.8423831550752684</v>
      </c>
      <c r="M3">
        <f>B3*PI()/180</f>
        <v>0.3312269864765038</v>
      </c>
      <c r="N3">
        <f>D3*D3/(1-D3*D3)</f>
        <v>0.006739496742991205</v>
      </c>
      <c r="O3">
        <f>C3/SQRT(1-D3*D3*SIN(L3)*SIN(L3))</f>
        <v>6390058.691488727</v>
      </c>
      <c r="P3">
        <f>TAN(L3)*TAN(L3)</f>
        <v>1.2566318831143257</v>
      </c>
      <c r="Q3">
        <f>N3*COS(L3)*COS(L3)</f>
        <v>0.0029865290805384625</v>
      </c>
      <c r="R3">
        <f>(M3-H3)*COS(L3)</f>
        <v>-0.0234935061735471</v>
      </c>
      <c r="S3">
        <f>C3*(L3*(1-D3*D3/4-3*POWER(D3,4)/64-5*POWER(D3,6)/256)-SIN(2*L3)*(3*D3*D3/8+3*POWER(D3,4)/32+45*POWER(D3,6)/1024)+SIN(4*L3)*(15*POWER(D3,4)/256+45*POWER(D3,6)/1024)-SIN(6*L3)*35*POWER(D3,6)/3072)</f>
        <v>5347893.660616856</v>
      </c>
      <c r="T3">
        <f>C3*J3*((1-D3*D3/4-3*POWER(D3,4)/64-5*POWER(D3,6)/256)-SIN(2*J3)*(3*D3*D3/8+3*POWER(D3,4)/32+45*POWER(D3,6)/1024)+SIN(4*J3)*(15*POWER(D3,4)/256+45*POWER(D3,6)/1024)-SIN(6*J3)*35*POWER(D3,6)/3072)</f>
        <v>0</v>
      </c>
      <c r="U3">
        <f>K3*O3*(R3+(1-P3+Q3)*POWER(R3,3)/6+(5-18*P3+P3*P3+72*Q3-85*N3)*POWER(R3,5)/120)</f>
        <v>-150061.32564852168</v>
      </c>
      <c r="V3">
        <f>K3*(S3-T3+O3*TAN(L3)*(R3*R3/2+(5-P3+9*Q3+4*Q3*Q3)*POWER(R3,4)/24+(61-58*P3+P3*P3+600*Q3-330*N3)*POWER(R3,6)/720))</f>
        <v>5347730.908911206</v>
      </c>
      <c r="W3" s="24">
        <f>U3+E3</f>
        <v>349938.67435147834</v>
      </c>
      <c r="X3" s="24">
        <f>V3+F3</f>
        <v>5347730.908911206</v>
      </c>
      <c r="Y3" s="24">
        <f>TRUNC(B3/6)+31</f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indowProtection="1" workbookViewId="0" topLeftCell="A1">
      <selection activeCell="H17" sqref="H17"/>
    </sheetView>
  </sheetViews>
  <sheetFormatPr defaultColWidth="9.140625" defaultRowHeight="12.75"/>
  <sheetData>
    <row r="1" ht="12.75">
      <c r="A1" s="19" t="s">
        <v>115</v>
      </c>
    </row>
    <row r="2" ht="12.75">
      <c r="A2" s="47" t="s">
        <v>114</v>
      </c>
    </row>
    <row r="4" ht="12.75">
      <c r="A4" s="19" t="s">
        <v>140</v>
      </c>
    </row>
    <row r="5" ht="13.5" thickBot="1">
      <c r="A5" t="s">
        <v>138</v>
      </c>
    </row>
    <row r="6" spans="1:3" ht="12.75">
      <c r="A6" s="5" t="s">
        <v>26</v>
      </c>
      <c r="B6" s="6"/>
      <c r="C6" s="7"/>
    </row>
    <row r="7" spans="1:4" ht="13.5" thickBot="1">
      <c r="A7" s="8" t="s">
        <v>27</v>
      </c>
      <c r="B7" s="9" t="s">
        <v>28</v>
      </c>
      <c r="C7" s="10" t="s">
        <v>29</v>
      </c>
      <c r="D7" s="22" t="s">
        <v>76</v>
      </c>
    </row>
    <row r="8" spans="1:4" ht="13.5" thickBot="1">
      <c r="A8" s="59">
        <v>17</v>
      </c>
      <c r="B8" s="60">
        <v>40</v>
      </c>
      <c r="C8" s="61">
        <v>0</v>
      </c>
      <c r="D8">
        <f>A8+B8/60+C8/3600</f>
        <v>17.666666666666668</v>
      </c>
    </row>
    <row r="9" ht="13.5" thickBot="1"/>
    <row r="10" spans="1:6" ht="13.5" thickBot="1">
      <c r="A10" s="5" t="s">
        <v>108</v>
      </c>
      <c r="B10" s="6"/>
      <c r="C10" s="6"/>
      <c r="D10" s="6" t="s">
        <v>8</v>
      </c>
      <c r="E10" s="6" t="s">
        <v>9</v>
      </c>
      <c r="F10" s="7" t="s">
        <v>10</v>
      </c>
    </row>
    <row r="11" spans="1:6" ht="12.75">
      <c r="A11" s="8" t="s">
        <v>30</v>
      </c>
      <c r="B11" s="9"/>
      <c r="C11" s="9"/>
      <c r="D11" s="55">
        <v>589</v>
      </c>
      <c r="E11" s="56">
        <v>76</v>
      </c>
      <c r="F11" s="57">
        <v>480</v>
      </c>
    </row>
    <row r="12" spans="1:6" ht="12.75">
      <c r="A12" s="8" t="s">
        <v>144</v>
      </c>
      <c r="B12" s="9"/>
      <c r="C12" s="9"/>
      <c r="D12" s="58">
        <v>-26</v>
      </c>
      <c r="E12" s="14">
        <v>121</v>
      </c>
      <c r="F12" s="15">
        <v>78</v>
      </c>
    </row>
    <row r="13" spans="1:6" ht="13.5" thickBot="1">
      <c r="A13" s="8" t="s">
        <v>31</v>
      </c>
      <c r="B13" s="9"/>
      <c r="C13" s="9"/>
      <c r="D13" s="11">
        <v>-563</v>
      </c>
      <c r="E13" s="12">
        <v>-197</v>
      </c>
      <c r="F13" s="13">
        <v>-558</v>
      </c>
    </row>
    <row r="14" spans="1:6" ht="13.5" thickBot="1">
      <c r="A14" s="20" t="s">
        <v>32</v>
      </c>
      <c r="B14" s="16"/>
      <c r="C14" s="16"/>
      <c r="D14" s="17">
        <f>SUM(D11:D13)</f>
        <v>0</v>
      </c>
      <c r="E14" s="17">
        <f>SUM(E11:E13)</f>
        <v>0</v>
      </c>
      <c r="F14" s="18">
        <f>SUM(F11:F13)</f>
        <v>0</v>
      </c>
    </row>
    <row r="20" ht="12.75">
      <c r="B20" s="49"/>
    </row>
  </sheetData>
  <sheetProtection sheet="1" objects="1" scenarios="1"/>
  <protectedRanges>
    <protectedRange sqref="D11:F13" name="Shift"/>
    <protectedRange sqref="A8:C8" name="Ferro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indowProtection="1" workbookViewId="0" topLeftCell="A1">
      <selection activeCell="A20" sqref="A20"/>
    </sheetView>
  </sheetViews>
  <sheetFormatPr defaultColWidth="9.140625" defaultRowHeight="12.75"/>
  <sheetData>
    <row r="1" ht="12.75">
      <c r="A1" s="19" t="s">
        <v>116</v>
      </c>
    </row>
    <row r="2" ht="12.75">
      <c r="A2" s="47" t="s">
        <v>114</v>
      </c>
    </row>
    <row r="4" spans="1:3" ht="12.75">
      <c r="A4" s="19" t="s">
        <v>117</v>
      </c>
      <c r="C4" t="s">
        <v>141</v>
      </c>
    </row>
    <row r="5" ht="12.75">
      <c r="C5" t="s">
        <v>118</v>
      </c>
    </row>
    <row r="6" ht="12.75">
      <c r="C6" t="s">
        <v>119</v>
      </c>
    </row>
    <row r="7" ht="12.75">
      <c r="C7" t="s">
        <v>120</v>
      </c>
    </row>
    <row r="8" ht="12.75">
      <c r="C8" t="s">
        <v>121</v>
      </c>
    </row>
    <row r="9" spans="1:3" ht="12.75">
      <c r="A9" s="19" t="s">
        <v>122</v>
      </c>
      <c r="C9" t="s">
        <v>123</v>
      </c>
    </row>
    <row r="10" ht="12.75">
      <c r="C10" t="s">
        <v>124</v>
      </c>
    </row>
    <row r="11" ht="12.75">
      <c r="C11" t="s">
        <v>125</v>
      </c>
    </row>
    <row r="12" ht="12.75">
      <c r="C12" t="s">
        <v>126</v>
      </c>
    </row>
    <row r="13" ht="12.75">
      <c r="C13" t="s">
        <v>127</v>
      </c>
    </row>
    <row r="14" ht="12.75">
      <c r="C14" t="s">
        <v>128</v>
      </c>
    </row>
    <row r="15" ht="12.75">
      <c r="C15" t="s">
        <v>129</v>
      </c>
    </row>
    <row r="16" spans="1:3" ht="12.75">
      <c r="A16" s="19" t="s">
        <v>131</v>
      </c>
      <c r="C16" t="s">
        <v>132</v>
      </c>
    </row>
    <row r="17" ht="12.75">
      <c r="C17" t="s">
        <v>133</v>
      </c>
    </row>
    <row r="18" spans="1:3" ht="12.75">
      <c r="A18" s="19" t="s">
        <v>130</v>
      </c>
      <c r="C18" t="s">
        <v>134</v>
      </c>
    </row>
    <row r="19" ht="12.75">
      <c r="C19" t="s">
        <v>135</v>
      </c>
    </row>
    <row r="20" ht="12.75">
      <c r="C20" t="s">
        <v>136</v>
      </c>
    </row>
    <row r="22" spans="1:3" ht="12.75">
      <c r="A22" s="19" t="s">
        <v>137</v>
      </c>
      <c r="C22" t="s">
        <v>139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windowProtection="1" workbookViewId="0" topLeftCell="A1">
      <selection activeCell="A3" sqref="A3"/>
    </sheetView>
  </sheetViews>
  <sheetFormatPr defaultColWidth="9.140625" defaultRowHeight="12.75"/>
  <cols>
    <col min="9" max="11" width="4.28125" style="0" customWidth="1"/>
  </cols>
  <sheetData>
    <row r="1" spans="1:18" ht="12.75">
      <c r="A1" t="s">
        <v>4</v>
      </c>
      <c r="B1" t="s">
        <v>5</v>
      </c>
      <c r="C1" t="s">
        <v>6</v>
      </c>
      <c r="D1" t="s">
        <v>7</v>
      </c>
      <c r="E1" t="s">
        <v>0</v>
      </c>
      <c r="F1" t="s">
        <v>1</v>
      </c>
      <c r="G1" t="s">
        <v>2</v>
      </c>
      <c r="H1" t="s">
        <v>3</v>
      </c>
      <c r="I1" t="s">
        <v>8</v>
      </c>
      <c r="J1" t="s">
        <v>9</v>
      </c>
      <c r="K1" t="s">
        <v>10</v>
      </c>
      <c r="L1" t="s">
        <v>13</v>
      </c>
      <c r="M1" t="s">
        <v>11</v>
      </c>
      <c r="N1" t="s">
        <v>12</v>
      </c>
      <c r="O1" t="s">
        <v>14</v>
      </c>
      <c r="P1" t="s">
        <v>15</v>
      </c>
      <c r="Q1" t="s">
        <v>16</v>
      </c>
      <c r="R1" t="s">
        <v>17</v>
      </c>
    </row>
    <row r="2" ht="12.75">
      <c r="A2" t="s">
        <v>23</v>
      </c>
    </row>
    <row r="3" spans="1:18" ht="12.75">
      <c r="A3">
        <f>Main!G6</f>
        <v>50.16606324822101</v>
      </c>
      <c r="B3">
        <f>Main!H6</f>
        <v>15.010306107087434</v>
      </c>
      <c r="C3">
        <f>A3*PI()/180</f>
        <v>0.875562976445178</v>
      </c>
      <c r="D3">
        <f>B3*PI()/180</f>
        <v>0.2619792633008883</v>
      </c>
      <c r="E3">
        <v>6377397.155</v>
      </c>
      <c r="F3">
        <v>0.003342773182174806</v>
      </c>
      <c r="G3">
        <v>6378245</v>
      </c>
      <c r="H3">
        <v>0.003352329869259135</v>
      </c>
      <c r="I3">
        <f>-Parameters!D13</f>
        <v>563</v>
      </c>
      <c r="J3">
        <f>-Parameters!E13</f>
        <v>197</v>
      </c>
      <c r="K3">
        <f>-Parameters!F13</f>
        <v>558</v>
      </c>
      <c r="L3">
        <f>SQRT(2*F3-F3*F3)</f>
        <v>0.08169683122252751</v>
      </c>
      <c r="M3">
        <f>E3*(1-L3*L3)/POWER((1-L3*L3*SIN(C3)*SIN(C3)),1.5)</f>
        <v>6372415.086828861</v>
      </c>
      <c r="N3">
        <f>E3/SQRT(1-L3*L3*SIN(C3)*SIN(C3))</f>
        <v>6389984.156847988</v>
      </c>
      <c r="O3">
        <f>(-I3*SIN(C3)*COS(D3)-J3*SIN(C3)*SIN(D3)+K3*COS(C3)+(E3*(H3-F3)+F3*(G3-E3))*SIN(2*C3))/(M3*SIN(PI()/180/3600))</f>
        <v>-1.1839246032954402</v>
      </c>
      <c r="P3">
        <f>(-I3*SIN(D3)+J3*COS(D3))/(N3*COS(C3)*SIN(PI()/180/3600))</f>
        <v>2.2406981662334498</v>
      </c>
      <c r="Q3">
        <f>A3+O3/3600</f>
        <v>50.165734380275644</v>
      </c>
      <c r="R3">
        <f>B3+P3/3600</f>
        <v>15.01092852324472</v>
      </c>
    </row>
    <row r="4" spans="1:18" ht="12.75">
      <c r="A4">
        <f>Main!G6</f>
        <v>50.16606324822101</v>
      </c>
      <c r="B4">
        <f>Main!H6</f>
        <v>15.010306107087434</v>
      </c>
      <c r="C4">
        <f>A4*PI()/180</f>
        <v>0.875562976445178</v>
      </c>
      <c r="D4">
        <f>B4*PI()/180</f>
        <v>0.2619792633008883</v>
      </c>
      <c r="E4">
        <v>6377397.155</v>
      </c>
      <c r="F4">
        <v>0.003342773182174806</v>
      </c>
      <c r="G4">
        <v>6378137</v>
      </c>
      <c r="H4">
        <v>0.0033528106647474805</v>
      </c>
      <c r="I4">
        <f>Parameters!D11</f>
        <v>589</v>
      </c>
      <c r="J4">
        <f>Parameters!E11</f>
        <v>76</v>
      </c>
      <c r="K4">
        <f>Parameters!F11</f>
        <v>480</v>
      </c>
      <c r="L4">
        <f>SQRT(2*F4-F4*F4)</f>
        <v>0.08169683122252751</v>
      </c>
      <c r="M4">
        <f>E4*(1-L4*L4)/POWER((1-L4*L4*SIN(C4)*SIN(C4)),1.5)</f>
        <v>6372415.086828861</v>
      </c>
      <c r="N4">
        <f>E4/SQRT(1-L4*L4*SIN(C4)*SIN(C4))</f>
        <v>6389984.156847988</v>
      </c>
      <c r="O4">
        <f>(-I4*SIN(C4)*COS(D4)-J4*SIN(C4)*SIN(D4)+K4*COS(C4)+(E4*(H4-F4)+F4*(G4-E4))*SIN(2*C4))/(M4*SIN(PI()/180/3600))</f>
        <v>-2.560302776399199</v>
      </c>
      <c r="P4">
        <f>(-I4*SIN(D4)+J4*COS(D4))/(N4*COS(C4)*SIN(PI()/180/3600))</f>
        <v>-3.988026520523636</v>
      </c>
      <c r="Q4">
        <f>A4+O4/3600</f>
        <v>50.16535205300534</v>
      </c>
      <c r="R4">
        <f>B4+P4/3600</f>
        <v>15.009198321942844</v>
      </c>
    </row>
    <row r="5" ht="12.75">
      <c r="A5" t="s">
        <v>24</v>
      </c>
    </row>
    <row r="6" spans="1:18" ht="12.75">
      <c r="A6">
        <f>Main!G11</f>
        <v>48.26534320409736</v>
      </c>
      <c r="B6">
        <f>Main!H11</f>
        <v>18.97956345921884</v>
      </c>
      <c r="C6">
        <f>A6*PI()/180</f>
        <v>0.8423891535165685</v>
      </c>
      <c r="D6">
        <f>B6*PI()/180</f>
        <v>0.3312558729545733</v>
      </c>
      <c r="E6">
        <v>6378245</v>
      </c>
      <c r="F6">
        <v>0.003352329869259135</v>
      </c>
      <c r="G6">
        <v>6377397.155</v>
      </c>
      <c r="H6">
        <v>0.003342773182174806</v>
      </c>
      <c r="I6">
        <f>Parameters!D13</f>
        <v>-563</v>
      </c>
      <c r="J6">
        <f>Parameters!E13</f>
        <v>-197</v>
      </c>
      <c r="K6">
        <f>Parameters!F13</f>
        <v>-558</v>
      </c>
      <c r="L6">
        <f>SQRT(2*F6-F6*F6)</f>
        <v>0.08181333401693115</v>
      </c>
      <c r="M6">
        <f>E6*(1-L6*L6)/POWER((1-L6*L6*SIN(C6)*SIN(C6)),1.5)</f>
        <v>6371140.71095072</v>
      </c>
      <c r="N6">
        <f>E6/SQRT(1-L6*L6*SIN(C6)*SIN(C6))</f>
        <v>6390165.309757688</v>
      </c>
      <c r="O6">
        <f>(-I6*SIN(C6)*COS(D6)-J6*SIN(C6)*SIN(D6)+K6*COS(C6)+(E6*(H6-F6)+F6*(G6-E6))*SIN(2*C6))/(M6*SIN(PI()/180/3600))</f>
        <v>0.3324300998361015</v>
      </c>
      <c r="P6">
        <f>(-I6*SIN(D6)+J6*COS(D6))/(N6*COS(C6)*SIN(PI()/180/3600))</f>
        <v>-0.1544404032224624</v>
      </c>
      <c r="Q6">
        <f>A6+O6/3600</f>
        <v>48.26543554579176</v>
      </c>
      <c r="R6">
        <f>B6+P6/3600</f>
        <v>18.979520559106835</v>
      </c>
    </row>
    <row r="7" spans="1:18" ht="12.75">
      <c r="A7">
        <f>Main!G11</f>
        <v>48.26534320409736</v>
      </c>
      <c r="B7">
        <f>Main!H11</f>
        <v>18.97956345921884</v>
      </c>
      <c r="C7">
        <f>A7*PI()/180</f>
        <v>0.8423891535165685</v>
      </c>
      <c r="D7">
        <f>B7*PI()/180</f>
        <v>0.3312558729545733</v>
      </c>
      <c r="E7">
        <v>6378245</v>
      </c>
      <c r="F7">
        <v>0.003352329869259135</v>
      </c>
      <c r="G7">
        <v>6378137</v>
      </c>
      <c r="H7">
        <v>0.0033528106647474805</v>
      </c>
      <c r="I7">
        <f>-Parameters!D12</f>
        <v>26</v>
      </c>
      <c r="J7">
        <f>-Parameters!E12</f>
        <v>-121</v>
      </c>
      <c r="K7">
        <f>-Parameters!F12</f>
        <v>-78</v>
      </c>
      <c r="L7">
        <f>SQRT(2*F7-F7*F7)</f>
        <v>0.08181333401693115</v>
      </c>
      <c r="M7">
        <f>E7*(1-L7*L7)/POWER((1-L7*L7*SIN(C7)*SIN(C7)),1.5)</f>
        <v>6371140.71095072</v>
      </c>
      <c r="N7">
        <f>E7/SQRT(1-L7*L7*SIN(C7)*SIN(C7))</f>
        <v>6390165.309757688</v>
      </c>
      <c r="O7">
        <f>(-I7*SIN(C7)*COS(D7)-J7*SIN(C7)*SIN(D7)+K7*COS(C7)+(E7*(H7-F7)+F7*(G7-E7))*SIN(2*C7))/(M7*SIN(PI()/180/3600))</f>
        <v>-1.237267332559701</v>
      </c>
      <c r="P7">
        <f>(-I7*SIN(D7)+J7*COS(D7))/(N7*COS(C7)*SIN(PI()/180/3600))</f>
        <v>-5.95826380216748</v>
      </c>
      <c r="Q7">
        <f>A7+O7/3600</f>
        <v>48.26499951872721</v>
      </c>
      <c r="R7">
        <f>B7+P7/3600</f>
        <v>18.977908385940463</v>
      </c>
    </row>
    <row r="8" ht="12.75">
      <c r="A8" t="s">
        <v>25</v>
      </c>
    </row>
    <row r="9" spans="1:18" ht="12.75">
      <c r="A9">
        <f>Main!G16</f>
        <v>48.222336111836604</v>
      </c>
      <c r="B9">
        <f>Main!H16</f>
        <v>19.707483608626976</v>
      </c>
      <c r="C9">
        <f>A9*PI()/180</f>
        <v>0.8416385381549093</v>
      </c>
      <c r="D9">
        <f>B9*PI()/180</f>
        <v>0.3439604762533543</v>
      </c>
      <c r="E9">
        <v>6378137</v>
      </c>
      <c r="F9">
        <v>0.003352923712996414</v>
      </c>
      <c r="G9">
        <v>6377397.155</v>
      </c>
      <c r="H9">
        <v>0.003342773182174806</v>
      </c>
      <c r="I9">
        <f>-Parameters!D11</f>
        <v>-589</v>
      </c>
      <c r="J9">
        <f>-Parameters!E11</f>
        <v>-76</v>
      </c>
      <c r="K9">
        <f>-Parameters!F11</f>
        <v>-480</v>
      </c>
      <c r="L9">
        <f>SQRT(2*F9-F9*F9)</f>
        <v>0.08182056788221195</v>
      </c>
      <c r="M9">
        <f>E9*(1-L9*L9)/POWER((1-L9*L9*SIN(C9)*SIN(C9)),1.5)</f>
        <v>6370983.668860674</v>
      </c>
      <c r="N9">
        <f>E9/SQRT(1-L9*L9*SIN(C9)*SIN(C9))</f>
        <v>6390043.209779788</v>
      </c>
      <c r="O9">
        <f>(-I9*SIN(C9)*COS(D9)-J9*SIN(C9)*SIN(D9)+K9*COS(C9)+(E9*(H9-F9)+F9*(G9-E9))*SIN(2*C9))/(M9*SIN(PI()/180/3600))</f>
        <v>1.4902326850175573</v>
      </c>
      <c r="P9">
        <f>(-I9*SIN(D9)+J9*COS(D9))/(N9*COS(C9)*SIN(PI()/180/3600))</f>
        <v>6.156631365482608</v>
      </c>
      <c r="Q9">
        <f>A9+O9/3600</f>
        <v>48.22275006536022</v>
      </c>
      <c r="R9">
        <f>B9+P9/3600</f>
        <v>19.709193784006278</v>
      </c>
    </row>
    <row r="10" spans="1:18" ht="12.75">
      <c r="A10">
        <f>Main!G16</f>
        <v>48.222336111836604</v>
      </c>
      <c r="B10">
        <f>Main!H16</f>
        <v>19.707483608626976</v>
      </c>
      <c r="C10">
        <f>A10*PI()/180</f>
        <v>0.8416385381549093</v>
      </c>
      <c r="D10">
        <f>B10*PI()/180</f>
        <v>0.3439604762533543</v>
      </c>
      <c r="E10">
        <v>6378137</v>
      </c>
      <c r="F10">
        <v>0.003352923712996414</v>
      </c>
      <c r="G10">
        <v>6378245</v>
      </c>
      <c r="H10">
        <v>0.003352329869259135</v>
      </c>
      <c r="I10">
        <f>Parameters!D12</f>
        <v>-26</v>
      </c>
      <c r="J10">
        <f>Parameters!E12</f>
        <v>121</v>
      </c>
      <c r="K10">
        <f>Parameters!F12</f>
        <v>78</v>
      </c>
      <c r="L10">
        <f>SQRT(2*F10-F10*F10)</f>
        <v>0.08182056788221195</v>
      </c>
      <c r="M10">
        <f>E10*(1-L10*L10)/POWER((1-L10*L10*SIN(C10)*SIN(C10)),1.5)</f>
        <v>6370983.668860674</v>
      </c>
      <c r="N10">
        <f>E10/SQRT(1-L10*L10*SIN(C10)*SIN(C10))</f>
        <v>6390043.209779788</v>
      </c>
      <c r="O10">
        <f>(-I10*SIN(C10)*COS(D10)-J10*SIN(C10)*SIN(D10)+K10*COS(C10)+(E10*(H10-F10)+F10*(G10-E10))*SIN(2*C10))/(M10*SIN(PI()/180/3600))</f>
        <v>1.1780819355332877</v>
      </c>
      <c r="P10">
        <f>(-I10*SIN(D10)+J10*COS(D10))/(N10*COS(C10)*SIN(PI()/180/3600))</f>
        <v>5.943800465458595</v>
      </c>
      <c r="Q10">
        <f>A10+O10/3600</f>
        <v>48.2226633568187</v>
      </c>
      <c r="R10">
        <f>B10+P10/3600</f>
        <v>19.709134664311826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"/>
  <sheetViews>
    <sheetView windowProtection="1" workbookViewId="0" topLeftCell="A1">
      <selection activeCell="A3" sqref="A3"/>
    </sheetView>
  </sheetViews>
  <sheetFormatPr defaultColWidth="9.140625" defaultRowHeight="12.75"/>
  <cols>
    <col min="1" max="2" width="11.57421875" style="0" bestFit="1" customWidth="1"/>
  </cols>
  <sheetData>
    <row r="1" spans="1:46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36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13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6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69</v>
      </c>
      <c r="AO1" t="s">
        <v>70</v>
      </c>
      <c r="AP1" t="s">
        <v>71</v>
      </c>
      <c r="AQ1" t="s">
        <v>72</v>
      </c>
      <c r="AR1" t="s">
        <v>73</v>
      </c>
      <c r="AS1" t="s">
        <v>74</v>
      </c>
      <c r="AT1" t="s">
        <v>75</v>
      </c>
    </row>
    <row r="2" spans="1:46" ht="12.75">
      <c r="A2" s="21">
        <f>Main!D6</f>
        <v>1040000</v>
      </c>
      <c r="B2" s="21">
        <f>Main!C6</f>
        <v>700000</v>
      </c>
      <c r="C2">
        <f>59+42/60+42.69689/3600</f>
        <v>59.711860247222226</v>
      </c>
      <c r="D2">
        <f>42+31/60+31.41725/3600</f>
        <v>42.52539368055555</v>
      </c>
      <c r="E2">
        <f>C2*PI()/180</f>
        <v>1.042168563804743</v>
      </c>
      <c r="F2">
        <f>D2*PI()/180</f>
        <v>0.7422081354324841</v>
      </c>
      <c r="G2">
        <f>PI()*11.5/180</f>
        <v>0.20071286397934787</v>
      </c>
      <c r="H2">
        <f>COS(G2)</f>
        <v>0.9799247046208296</v>
      </c>
      <c r="I2">
        <f>ATAN2(A2,B2)</f>
        <v>0.5924273534318787</v>
      </c>
      <c r="J2">
        <f>I2/H2</f>
        <v>0.6045641574687226</v>
      </c>
      <c r="K2">
        <f>SQRT(A2*A2+B2*B2)</f>
        <v>1253634.7155371855</v>
      </c>
      <c r="L2">
        <v>6380065.5402</v>
      </c>
      <c r="M2">
        <f>L2*SIN(G2)/H2/POWER(TAN(G2/2),H2)</f>
        <v>12310230.127862332</v>
      </c>
      <c r="N2">
        <f>2*ATAN(POWER(K2/M2,1/H2))</f>
        <v>0.1937530722345859</v>
      </c>
      <c r="O2">
        <f>ASIN(COS(N2)*SIN(E2)-SIN(N2)*COS(E2)*COS(J2))</f>
        <v>0.8748483303728459</v>
      </c>
      <c r="P2">
        <f>ASIN(SIN(N2)*SIN(J2)/COS(O2))</f>
        <v>0.1715466052247681</v>
      </c>
      <c r="Q2">
        <v>6377397.155</v>
      </c>
      <c r="R2">
        <v>6356078.96325</v>
      </c>
      <c r="S2">
        <f>SQRT((Q2*Q2-R2*R2)/(Q2*Q2))</f>
        <v>0.08169683039650512</v>
      </c>
      <c r="T2">
        <f>SQRT((Q2*Q2-R2*R2)/(R2*R2))</f>
        <v>0.0819708403176892</v>
      </c>
      <c r="U2">
        <f>PI()*49.5/180</f>
        <v>0.8639379797371932</v>
      </c>
      <c r="V2">
        <f>SQRT(1+T2*T2*COS(U2)*COS(U2))</f>
        <v>1.0014160227611322</v>
      </c>
      <c r="W2">
        <f>ATAN2(V2,TAN(U2))</f>
        <v>0.863239102672573</v>
      </c>
      <c r="X2">
        <f>SIN(U2)/SIN(W2)</f>
        <v>1.0005974983594885</v>
      </c>
      <c r="Y2">
        <f>TAN(PI()/4+W2/2)/(POWER(TAN(PI()/4+U2/2),X2)*POWER((1-S2*SIN(U2))/(1+S2*SIN(U2)),X2*S2/2))</f>
        <v>1.0034191638979124</v>
      </c>
      <c r="Z2">
        <f>(F2-P2)/X2</f>
        <v>0.5703207644865531</v>
      </c>
      <c r="AA2">
        <f>2*ATAN(POWER(1/Y2*TAN(PI()/4+O2/2),1/X2))-PI()/2</f>
        <v>0.8722691066250907</v>
      </c>
      <c r="AB2">
        <f>POWER((1-S2*SIN(AA2))/(1+S2*SIN(AA2)),X2*S2/2)</f>
        <v>0.9948921789872546</v>
      </c>
      <c r="AC2">
        <f>2*ATAN(POWER(1/Y2/AB2*TAN(PI()/4+O2/2),1/X2))-PI()/2</f>
        <v>0.875553902234274</v>
      </c>
      <c r="AD2">
        <f>POWER((1-$S2*SIN(AC2))/(1+$S2*SIN(AC2)),$X2*$S2/2)</f>
        <v>0.9948781159164545</v>
      </c>
      <c r="AE2">
        <f>2*ATAN(POWER(1/$Y2/AD2*TAN(PI()/4+$O2/2),1/$X2))-PI()/2</f>
        <v>0.8755629514957728</v>
      </c>
      <c r="AF2">
        <f>POWER((1-$S2*SIN(AE2))/(1+$S2*SIN(AE2)),$X2*$S2/2)</f>
        <v>0.9948780772503167</v>
      </c>
      <c r="AG2">
        <f>2*ATAN(POWER(1/$Y2/AF2*TAN(PI()/4+$O2/2),1/$X2))-PI()/2</f>
        <v>0.8755629763765813</v>
      </c>
      <c r="AH2">
        <f>POWER((1-$S2*SIN(AG2))/(1+$S2*SIN(AG2)),$X2*$S2/2)</f>
        <v>0.9948780771440053</v>
      </c>
      <c r="AI2">
        <f>2*ATAN(POWER(1/$Y2/AH2*TAN(PI()/4+$O2/2),1/$X2))-PI()/2</f>
        <v>0.8755629764449901</v>
      </c>
      <c r="AJ2">
        <f>POWER((1-$S2*SIN(AI2))/(1+$S2*SIN(AI2)),$X2*$S2/2)</f>
        <v>0.9948780771437131</v>
      </c>
      <c r="AK2">
        <f>2*ATAN(POWER(1/$Y2/AJ2*TAN(PI()/4+$O2/2),1/$X2))-PI()/2</f>
        <v>0.875562976445178</v>
      </c>
      <c r="AL2">
        <f>AK2*180/PI()</f>
        <v>50.16606324822101</v>
      </c>
      <c r="AM2">
        <f>Z2*180/PI()</f>
        <v>32.6769727737541</v>
      </c>
      <c r="AN2">
        <f>AM2-Parameters!D8</f>
        <v>15.010306107087434</v>
      </c>
      <c r="AO2">
        <f>TRUNC(AL2)</f>
        <v>50</v>
      </c>
      <c r="AP2">
        <f>TRUNC((AL2-AO2)*60)</f>
        <v>9</v>
      </c>
      <c r="AQ2">
        <f>3600*(AL2-AO2-AP2/60)</f>
        <v>57.82769359562737</v>
      </c>
      <c r="AR2">
        <f>TRUNC(AN2)</f>
        <v>15</v>
      </c>
      <c r="AS2">
        <f>TRUNC((AN2-AR2)*60)</f>
        <v>0</v>
      </c>
      <c r="AT2">
        <f>3600*(AN2-AR2-AS2/60)</f>
        <v>37.10198551476225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"/>
  <sheetViews>
    <sheetView windowProtection="1" workbookViewId="0" topLeftCell="A1">
      <selection activeCell="A3" sqref="A3"/>
    </sheetView>
  </sheetViews>
  <sheetFormatPr defaultColWidth="9.140625" defaultRowHeight="12.75"/>
  <cols>
    <col min="32" max="32" width="11.7109375" style="0" customWidth="1"/>
    <col min="33" max="33" width="12.28125" style="0" customWidth="1"/>
  </cols>
  <sheetData>
    <row r="1" spans="1:33" ht="12.75">
      <c r="A1" t="s">
        <v>67</v>
      </c>
      <c r="B1" t="s">
        <v>77</v>
      </c>
      <c r="C1" t="s">
        <v>78</v>
      </c>
      <c r="D1" t="s">
        <v>66</v>
      </c>
      <c r="E1" t="s">
        <v>56</v>
      </c>
      <c r="F1" t="s">
        <v>48</v>
      </c>
      <c r="G1" t="s">
        <v>49</v>
      </c>
      <c r="H1" t="s">
        <v>13</v>
      </c>
      <c r="I1" t="s">
        <v>50</v>
      </c>
      <c r="J1" t="s">
        <v>35</v>
      </c>
      <c r="K1" t="s">
        <v>36</v>
      </c>
      <c r="L1" t="s">
        <v>37</v>
      </c>
      <c r="M1" t="s">
        <v>79</v>
      </c>
      <c r="N1" t="s">
        <v>80</v>
      </c>
      <c r="O1" t="s">
        <v>81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58</v>
      </c>
      <c r="V1" t="s">
        <v>46</v>
      </c>
      <c r="W1" t="s">
        <v>47</v>
      </c>
      <c r="X1" t="s">
        <v>45</v>
      </c>
      <c r="Y1" t="s">
        <v>41</v>
      </c>
      <c r="Z1" t="s">
        <v>38</v>
      </c>
      <c r="AA1" t="s">
        <v>39</v>
      </c>
      <c r="AB1" t="s">
        <v>43</v>
      </c>
      <c r="AC1" t="s">
        <v>44</v>
      </c>
      <c r="AD1" t="s">
        <v>42</v>
      </c>
      <c r="AE1" t="s">
        <v>40</v>
      </c>
      <c r="AF1" t="s">
        <v>33</v>
      </c>
      <c r="AG1" t="s">
        <v>34</v>
      </c>
    </row>
    <row r="2" spans="1:33" ht="12.75">
      <c r="A2">
        <f>Main!G12</f>
        <v>48.26543554579176</v>
      </c>
      <c r="B2">
        <f>Main!H12</f>
        <v>18.979520559106835</v>
      </c>
      <c r="C2">
        <f>B2+Parameters!D8</f>
        <v>36.6461872257735</v>
      </c>
      <c r="D2">
        <f>A2*PI()/180</f>
        <v>0.8423907651831726</v>
      </c>
      <c r="E2">
        <f>C2*PI()/180</f>
        <v>0.6395966253920342</v>
      </c>
      <c r="F2">
        <v>6377397.155</v>
      </c>
      <c r="G2">
        <v>6356078.96325</v>
      </c>
      <c r="H2">
        <f>SQRT((F2*F2-G2*G2)/(F2*F2))</f>
        <v>0.08169683039650512</v>
      </c>
      <c r="I2">
        <f>SQRT((F2*F2-G2*G2)/(G2*G2))</f>
        <v>0.0819708403176892</v>
      </c>
      <c r="J2">
        <f>59+42/60+42.69689/3600</f>
        <v>59.711860247222226</v>
      </c>
      <c r="K2">
        <f>42+31/60+31.41725/3600</f>
        <v>42.52539368055555</v>
      </c>
      <c r="L2">
        <f>J2*PI()/180</f>
        <v>1.042168563804743</v>
      </c>
      <c r="M2">
        <f>K2*PI()/180</f>
        <v>0.7422081354324841</v>
      </c>
      <c r="N2">
        <v>1298039.0046</v>
      </c>
      <c r="O2">
        <f>49.5</f>
        <v>49.5</v>
      </c>
      <c r="P2">
        <f>O2*PI()/180</f>
        <v>0.8639379797371932</v>
      </c>
      <c r="Q2">
        <f>SQRT(1+I2*I2*COS(P2)*COS(P2))</f>
        <v>1.0014160227611322</v>
      </c>
      <c r="R2">
        <f>ATAN2(Q2,TAN(P2))</f>
        <v>0.863239102672573</v>
      </c>
      <c r="S2">
        <f>SIN(P2)/SIN(R2)</f>
        <v>1.0005974983594885</v>
      </c>
      <c r="T2">
        <f>(TAN(PI()/4+R2/2))/(POWER(TAN(PI()/4+P2/2),S2)*POWER(((1-H2*SIN(P2))/(1+H2*SIN(P2))),(S2*H2/2)))</f>
        <v>1.0034191638979124</v>
      </c>
      <c r="U2">
        <f>ATAN(T2*POWER(TAN(PI()/4+D2/2),S2)*POWER(((1-H2*SIN(D2))/(1+H2*SIN(D2))),S2*H2/2))</f>
        <v>1.2062604943594375</v>
      </c>
      <c r="V2">
        <f>(U2-PI()/4)*2</f>
        <v>0.8417246619239784</v>
      </c>
      <c r="W2">
        <f>M2-S2*E2</f>
        <v>0.10222935210604378</v>
      </c>
      <c r="X2">
        <f>ACOS(SIN(V2)*SIN(L2)+COS(V2)*COS(L2)*COS(W2))</f>
        <v>0.2090709973415652</v>
      </c>
      <c r="Y2">
        <f>ASIN(COS(V2)*SIN(W2)/SIN(X2))</f>
        <v>0.3337141549287763</v>
      </c>
      <c r="Z2">
        <f>PI()*11.5/180</f>
        <v>0.20071286397934787</v>
      </c>
      <c r="AA2">
        <f>COS(Z2)</f>
        <v>0.9799247046208296</v>
      </c>
      <c r="AB2">
        <v>6380065.5402</v>
      </c>
      <c r="AC2">
        <f>AB2*SIN(Z2)/AA2/POWER(TAN(Z2/2),AA2)</f>
        <v>12310230.127862332</v>
      </c>
      <c r="AD2">
        <f>AC2*POWER(TAN(X2/2),AA2)</f>
        <v>1351365.0579307992</v>
      </c>
      <c r="AE2">
        <f>AA2*Y2</f>
        <v>0.3270147446963709</v>
      </c>
      <c r="AF2" s="21">
        <f>AD2*COS(AE2)</f>
        <v>1279750.1123920048</v>
      </c>
      <c r="AG2" s="21">
        <f>AD2*SIN(AE2)</f>
        <v>434081.98491640197</v>
      </c>
    </row>
    <row r="3" spans="1:33" ht="12.75">
      <c r="A3">
        <f>Main!G17</f>
        <v>48.22275006536022</v>
      </c>
      <c r="B3">
        <f>Main!H17</f>
        <v>19.709193784006278</v>
      </c>
      <c r="C3">
        <f>B3+Parameters!D8</f>
        <v>37.375860450672945</v>
      </c>
      <c r="D3">
        <f>A3*PI()/180</f>
        <v>0.8416457630068466</v>
      </c>
      <c r="E3">
        <f>C3*PI()/180</f>
        <v>0.6523318256301746</v>
      </c>
      <c r="F3">
        <v>6377397.155</v>
      </c>
      <c r="G3">
        <v>6356078.96325</v>
      </c>
      <c r="H3">
        <f>SQRT((F3*F3-G3*G3)/(F3*F3))</f>
        <v>0.08169683039650512</v>
      </c>
      <c r="I3">
        <f>SQRT((F3*F3-G3*G3)/(G3*G3))</f>
        <v>0.0819708403176892</v>
      </c>
      <c r="J3">
        <f>59+42/60+42.69689/3600</f>
        <v>59.711860247222226</v>
      </c>
      <c r="K3">
        <f>42+31/60+31.41725/3600</f>
        <v>42.52539368055555</v>
      </c>
      <c r="L3">
        <f>J3*PI()/180</f>
        <v>1.042168563804743</v>
      </c>
      <c r="M3">
        <f>K3*PI()/180</f>
        <v>0.7422081354324841</v>
      </c>
      <c r="N3">
        <v>1298039.0046</v>
      </c>
      <c r="O3">
        <f>49.5</f>
        <v>49.5</v>
      </c>
      <c r="P3">
        <f>O3*PI()/180</f>
        <v>0.8639379797371932</v>
      </c>
      <c r="Q3">
        <f>SQRT(1+I3*I3*COS(P3)*COS(P3))</f>
        <v>1.0014160227611322</v>
      </c>
      <c r="R3">
        <f>ATAN2(Q3,TAN(P3))</f>
        <v>0.863239102672573</v>
      </c>
      <c r="S3">
        <f>SIN(P3)/SIN(R3)</f>
        <v>1.0005974983594885</v>
      </c>
      <c r="T3">
        <f>(TAN(PI()/4+R3/2))/(POWER(TAN(PI()/4+P3/2),S3)*POWER(((1-H3*SIN(P3))/(1+H3*SIN(P3))),(S3*H3/2)))</f>
        <v>1.0034191638979124</v>
      </c>
      <c r="U3">
        <f>ATAN(T3*POWER(TAN(PI()/4+D3/2),S3)*POWER(((1-H3*SIN(D3))/(1+H3*SIN(D3))),S3*H3/2))</f>
        <v>1.2058886011644607</v>
      </c>
      <c r="V3">
        <f>(U3-PI()/4)*2</f>
        <v>0.8409808755340249</v>
      </c>
      <c r="W3">
        <f>M3-S3*E3</f>
        <v>0.08948654260665334</v>
      </c>
      <c r="X3">
        <f>ACOS(SIN(V3)*SIN(L3)+COS(V3)*COS(L3)*COS(W3))</f>
        <v>0.20781314702152898</v>
      </c>
      <c r="Y3">
        <f>ASIN(COS(V3)*SIN(W3)/SIN(X3))</f>
        <v>0.2929659316541706</v>
      </c>
      <c r="Z3">
        <f>PI()*11.5/180</f>
        <v>0.20071286397934787</v>
      </c>
      <c r="AA3">
        <f>COS(Z3)</f>
        <v>0.9799247046208296</v>
      </c>
      <c r="AB3">
        <v>6380065.5402</v>
      </c>
      <c r="AC3">
        <f>AB3*SIN(Z3)/AA3/POWER(TAN(Z3/2),AA3)</f>
        <v>12310230.127862332</v>
      </c>
      <c r="AD3">
        <f>AC3*POWER(TAN(X3/2),AA3)</f>
        <v>1343339.653170563</v>
      </c>
      <c r="AE3">
        <f>AA3*Y3</f>
        <v>0.2870845540401793</v>
      </c>
      <c r="AF3" s="21">
        <f>AD3*COS(AE3)</f>
        <v>1288361.4361780346</v>
      </c>
      <c r="AG3" s="21">
        <f>AD3*SIN(AE3)</f>
        <v>380376.4366383399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"/>
  <sheetViews>
    <sheetView windowProtection="1" workbookViewId="0" topLeftCell="R1">
      <selection activeCell="A3" sqref="A3"/>
    </sheetView>
  </sheetViews>
  <sheetFormatPr defaultColWidth="9.140625" defaultRowHeight="12.75"/>
  <sheetData>
    <row r="1" spans="1:28" ht="12.75">
      <c r="A1" t="s">
        <v>82</v>
      </c>
      <c r="B1" t="s">
        <v>83</v>
      </c>
      <c r="C1" t="s">
        <v>48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35</v>
      </c>
      <c r="J1" t="s">
        <v>89</v>
      </c>
      <c r="K1" t="s">
        <v>90</v>
      </c>
      <c r="L1" t="s">
        <v>33</v>
      </c>
      <c r="M1" t="s">
        <v>34</v>
      </c>
      <c r="N1" t="s">
        <v>13</v>
      </c>
      <c r="O1" t="s">
        <v>91</v>
      </c>
      <c r="P1" t="s">
        <v>11</v>
      </c>
      <c r="Q1" t="s">
        <v>92</v>
      </c>
      <c r="R1" t="s">
        <v>93</v>
      </c>
      <c r="S1" t="s">
        <v>94</v>
      </c>
      <c r="T1" t="s">
        <v>95</v>
      </c>
      <c r="U1" t="s">
        <v>96</v>
      </c>
      <c r="V1" t="s">
        <v>97</v>
      </c>
      <c r="W1" t="s">
        <v>98</v>
      </c>
      <c r="X1" t="s">
        <v>99</v>
      </c>
      <c r="Y1" t="s">
        <v>100</v>
      </c>
      <c r="Z1" t="s">
        <v>101</v>
      </c>
      <c r="AA1" t="s">
        <v>46</v>
      </c>
      <c r="AB1" t="s">
        <v>102</v>
      </c>
    </row>
    <row r="2" spans="1:28" ht="12.75">
      <c r="A2" s="23">
        <f>Main!C11</f>
        <v>4350000</v>
      </c>
      <c r="B2" s="23">
        <f>Main!D11</f>
        <v>5350000</v>
      </c>
      <c r="C2">
        <f>6378245</f>
        <v>6378245</v>
      </c>
      <c r="D2">
        <f>0.0818133340169312</f>
        <v>0.0818133340169312</v>
      </c>
      <c r="E2">
        <f>500000+TRUNC(A2/1000000)*1000000</f>
        <v>4500000</v>
      </c>
      <c r="F2">
        <v>0</v>
      </c>
      <c r="G2">
        <f>21+6*(TRUNC(A2/1000000)-4)</f>
        <v>21</v>
      </c>
      <c r="H2">
        <f>G2*PI()/180</f>
        <v>0.3665191429188092</v>
      </c>
      <c r="I2">
        <v>0</v>
      </c>
      <c r="J2">
        <f>I2*PI()/180</f>
        <v>0</v>
      </c>
      <c r="K2">
        <f>1</f>
        <v>1</v>
      </c>
      <c r="L2">
        <f>A2-E2</f>
        <v>-150000</v>
      </c>
      <c r="M2">
        <f>B2-F2</f>
        <v>5350000</v>
      </c>
      <c r="N2">
        <f>(1-SQRT(1-D2*D2))/(1+SQRT(1-D2*D2))</f>
        <v>0.0016789791806581683</v>
      </c>
      <c r="O2">
        <f>C2*(J2*(1-D2*D2/4-3*POWER(D2,4)/64-5*POWER(D2,6)/256)-SIN(2*J2)*(3*D2*D2/8+3*POWER(D2,4)/32+45*POWER(D2,6)/1024)+SIN(4*J2)*(15*POWER(D2,4)/256+45*POWER(D2,6)/1024)-SIN(6*J2)*35*POWER(D2,6)/3072)</f>
        <v>0</v>
      </c>
      <c r="P2">
        <f>O2+M2/K2</f>
        <v>5350000</v>
      </c>
      <c r="Q2">
        <f>P2/(C2*(1-D2*D2/4-3*POWER(D2,4)/64-5*POWER(D2,6)/256))</f>
        <v>0.8401964430338963</v>
      </c>
      <c r="R2">
        <f>Q2+SIN(2*Q2)*(3*N2/2-27*POWER(N2,3)/32)+SIN(4*Q2)*(21*N2*N2/16-55*POWER(N2,4)/32)+SIN(6*Q2)*151*POWER(N2,3)/96+SIN(8*Q2)*1097*POWER(N2,4)/512</f>
        <v>0.8426989862440372</v>
      </c>
      <c r="S2">
        <f>D2*D2/(1-D2*D2)</f>
        <v>0.006738525414683499</v>
      </c>
      <c r="T2">
        <f>S2*COS(R2)*COS(R2)</f>
        <v>0.0029839842950376665</v>
      </c>
      <c r="U2">
        <f>TAN(R2)*TAN(R2)</f>
        <v>1.258230857947072</v>
      </c>
      <c r="V2">
        <f>C2/SQRT(1-D2*D2*SIN(R2)*SIN(R2))</f>
        <v>6390171.917259945</v>
      </c>
      <c r="W2">
        <f>C2*(1-D2*D2)/POWER(1-D2*D2*SIN(R2)*SIN(R2),1.5)</f>
        <v>6371160.474462983</v>
      </c>
      <c r="X2">
        <f>L2/(V2*K2)</f>
        <v>-0.023473546868879674</v>
      </c>
      <c r="Y2">
        <f>R2-(V2*TAN(R2)/W2)*(X2*X2/2-(5+3*U2+10*T2-4*T2*T2-9*S2)*POWER(X2,4)/24+(61+90*U2+298*T2+45*U2*U2-252*S2-3*T2*T2)*POWER(X2,6)/720)</f>
        <v>0.8423891535165685</v>
      </c>
      <c r="Z2">
        <f>H2+(X2-(1+2*U2+T2)*POWER(X2,3)/6+(5-2*T2+28*U2-3*T2*T2+8*S2+24*U2*U2)*POWER(X2,5)/120)/COS(R2)</f>
        <v>0.33125587295457326</v>
      </c>
      <c r="AA2" s="24">
        <f>Y2*180/PI()</f>
        <v>48.26534320409736</v>
      </c>
      <c r="AB2" s="24">
        <f>Z2*180/PI()</f>
        <v>18.97956345921884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"/>
  <sheetViews>
    <sheetView windowProtection="1" workbookViewId="0" topLeftCell="N1">
      <selection activeCell="A3" sqref="A3"/>
    </sheetView>
  </sheetViews>
  <sheetFormatPr defaultColWidth="9.140625" defaultRowHeight="12.75"/>
  <sheetData>
    <row r="1" spans="1:24" ht="12.75">
      <c r="A1" t="s">
        <v>46</v>
      </c>
      <c r="B1" t="s">
        <v>102</v>
      </c>
      <c r="C1" t="s">
        <v>48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35</v>
      </c>
      <c r="J1" t="s">
        <v>89</v>
      </c>
      <c r="K1" t="s">
        <v>90</v>
      </c>
      <c r="L1" t="s">
        <v>100</v>
      </c>
      <c r="M1" t="s">
        <v>101</v>
      </c>
      <c r="N1" t="s">
        <v>94</v>
      </c>
      <c r="O1" t="s">
        <v>12</v>
      </c>
      <c r="P1" t="s">
        <v>103</v>
      </c>
      <c r="Q1" t="s">
        <v>104</v>
      </c>
      <c r="R1" t="s">
        <v>105</v>
      </c>
      <c r="S1" t="s">
        <v>11</v>
      </c>
      <c r="T1" t="s">
        <v>91</v>
      </c>
      <c r="U1" t="s">
        <v>33</v>
      </c>
      <c r="V1" t="s">
        <v>34</v>
      </c>
      <c r="W1" t="s">
        <v>82</v>
      </c>
      <c r="X1" t="s">
        <v>83</v>
      </c>
    </row>
    <row r="2" spans="1:24" ht="12.75">
      <c r="A2" s="23">
        <f>Main!G7</f>
        <v>50.165734380275644</v>
      </c>
      <c r="B2" s="23">
        <f>Main!H7</f>
        <v>15.01092852324472</v>
      </c>
      <c r="C2">
        <f>6378245</f>
        <v>6378245</v>
      </c>
      <c r="D2">
        <f>0.0818133340169312</f>
        <v>0.0818133340169312</v>
      </c>
      <c r="E2">
        <f>1500000+((TRUNC(B2/6)*1000000))</f>
        <v>3500000</v>
      </c>
      <c r="F2">
        <v>0</v>
      </c>
      <c r="G2">
        <f>6*(0.5+TRUNC(B2/6))</f>
        <v>15</v>
      </c>
      <c r="H2">
        <f>G2*PI()/180</f>
        <v>0.2617993877991494</v>
      </c>
      <c r="I2">
        <v>0</v>
      </c>
      <c r="J2">
        <f>I2*PI()/180</f>
        <v>0</v>
      </c>
      <c r="K2">
        <f>1</f>
        <v>1</v>
      </c>
      <c r="L2">
        <f>A2*PI()/180</f>
        <v>0.8755572366167271</v>
      </c>
      <c r="M2">
        <f>B2*PI()/180</f>
        <v>0.26199012651215053</v>
      </c>
      <c r="N2">
        <f>D2*D2/(1-D2*D2)</f>
        <v>0.006738525414683499</v>
      </c>
      <c r="O2">
        <f>C2/SQRT(1-D2*D2*SIN(L2)*SIN(L2))</f>
        <v>6390869.590183511</v>
      </c>
      <c r="P2">
        <f>TAN(L2)*TAN(L2)</f>
        <v>1.437070486002814</v>
      </c>
      <c r="Q2">
        <f>N2*COS(L2)*COS(L2)</f>
        <v>0.0027650104719522334</v>
      </c>
      <c r="R2">
        <f>(M2-H2)*COS(L2)</f>
        <v>0.00012218131720051695</v>
      </c>
      <c r="S2">
        <f>C2*(L2*(1-D2*D2/4-3*POWER(D2,4)/64-5*POWER(D2,6)/256)-SIN(2*L2)*(3*D2*D2/8+3*POWER(D2,4)/32+45*POWER(D2,6)/1024)+SIN(4*L2)*(15*POWER(D2,4)/256+45*POWER(D2,6)/1024)-SIN(6*L2)*35*POWER(D2,6)/3072)</f>
        <v>5559379.526905818</v>
      </c>
      <c r="T2">
        <f>C2*J2*((1-D2*D2/4-3*POWER(D2,4)/64-5*POWER(D2,6)/256)-SIN(2*J2)*(3*D2*D2/8+3*POWER(D2,4)/32+45*POWER(D2,6)/1024)+SIN(4*J2)*(15*POWER(D2,4)/256+45*POWER(D2,6)/1024)-SIN(6*J2)*35*POWER(D2,6)/3072)</f>
        <v>0</v>
      </c>
      <c r="U2">
        <f>K2*O2*(R2+(1-P2+Q2)*POWER(R2,3)/6+(5-18*P2+P2*P2+72*Q2-85*N2)*POWER(R2,5)/120)</f>
        <v>780.8448637415904</v>
      </c>
      <c r="V2">
        <f>K2*(S2-T2+O2*TAN(L2)*(R2*R2/2+(5-P2+9*Q2+4*Q2*Q2)*POWER(R2,4)/24+(61-58*P2+P2*P2+600*Q2-330*N2)*POWER(R2,6)/720))</f>
        <v>5559379.584090354</v>
      </c>
      <c r="W2" s="24">
        <f>U2+E2</f>
        <v>3500780.8448637417</v>
      </c>
      <c r="X2" s="24">
        <f>V2+F2</f>
        <v>5559379.584090354</v>
      </c>
    </row>
    <row r="3" spans="1:24" ht="12.75">
      <c r="A3" s="23">
        <f>Main!G18</f>
        <v>48.2226633568187</v>
      </c>
      <c r="B3" s="23">
        <f>Main!H18</f>
        <v>19.709134664311826</v>
      </c>
      <c r="C3">
        <f>6378245</f>
        <v>6378245</v>
      </c>
      <c r="D3">
        <f>0.0818133340169312</f>
        <v>0.0818133340169312</v>
      </c>
      <c r="E3">
        <f>1500000+((TRUNC(B3/6)*1000000))</f>
        <v>4500000</v>
      </c>
      <c r="F3">
        <v>0</v>
      </c>
      <c r="G3">
        <f>6*(0.5+TRUNC(B3/6))</f>
        <v>21</v>
      </c>
      <c r="H3">
        <f>G3*PI()/180</f>
        <v>0.3665191429188092</v>
      </c>
      <c r="I3">
        <v>0</v>
      </c>
      <c r="J3">
        <f>I3*PI()/180</f>
        <v>0</v>
      </c>
      <c r="K3">
        <f>1</f>
        <v>1</v>
      </c>
      <c r="L3">
        <f>A3*PI()/180</f>
        <v>0.8416442496573076</v>
      </c>
      <c r="M3">
        <f>B3*PI()/180</f>
        <v>0.34398929261118866</v>
      </c>
      <c r="N3">
        <f>D3*D3/(1-D3*D3)</f>
        <v>0.006738525414683499</v>
      </c>
      <c r="O3">
        <f>C3/SQRT(1-D3*D3*SIN(L3)*SIN(L3))</f>
        <v>6390149.422085681</v>
      </c>
      <c r="P3">
        <f>TAN(L3)*TAN(L3)</f>
        <v>1.252899370789956</v>
      </c>
      <c r="Q3">
        <f>N3*COS(L3)*COS(L3)</f>
        <v>0.002991045894926369</v>
      </c>
      <c r="R3">
        <f>(M3-H3)*COS(L3)</f>
        <v>-0.015010232156736043</v>
      </c>
      <c r="S3">
        <f>C3*(L3*(1-D3*D3/4-3*POWER(D3,4)/64-5*POWER(D3,6)/256)-SIN(2*L3)*(3*D3*D3/8+3*POWER(D3,4)/32+45*POWER(D3,6)/1024)+SIN(4*L3)*(15*POWER(D3,4)/256+45*POWER(D3,6)/1024)-SIN(6*L3)*35*POWER(D3,6)/3072)</f>
        <v>5343280.139662573</v>
      </c>
      <c r="T3">
        <f>C3*J3*((1-D3*D3/4-3*POWER(D3,4)/64-5*POWER(D3,6)/256)-SIN(2*J3)*(3*D3*D3/8+3*POWER(D3,4)/32+45*POWER(D3,6)/1024)+SIN(4*J3)*(15*POWER(D3,4)/256+45*POWER(D3,6)/1024)-SIN(6*J3)*35*POWER(D3,6)/3072)</f>
        <v>0</v>
      </c>
      <c r="U3">
        <f>K3*O3*(R3+(1-P3+Q3)*POWER(R3,3)/6+(5-18*P3+P3*P3+72*Q3-85*N3)*POWER(R3,5)/120)</f>
        <v>-95916.72555396322</v>
      </c>
      <c r="V3">
        <f>K3*(S3-T3+O3*TAN(L3)*(R3*R3/2+(5-P3+9*Q3+4*Q3*Q3)*POWER(R3,4)/24+(61-58*P3+P3*P3+600*Q3-330*N3)*POWER(R3,6)/720))</f>
        <v>5344085.972024439</v>
      </c>
      <c r="W3" s="24">
        <f>U3+E3</f>
        <v>4404083.274446037</v>
      </c>
      <c r="X3" s="24">
        <f>V3+F3</f>
        <v>5344085.972024439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"/>
  <sheetViews>
    <sheetView windowProtection="1" workbookViewId="0" topLeftCell="S1">
      <selection activeCell="A3" sqref="A3"/>
    </sheetView>
  </sheetViews>
  <sheetFormatPr defaultColWidth="9.140625" defaultRowHeight="12.75"/>
  <sheetData>
    <row r="1" spans="1:29" ht="12.75">
      <c r="A1" t="s">
        <v>82</v>
      </c>
      <c r="B1" t="s">
        <v>83</v>
      </c>
      <c r="C1" t="s">
        <v>106</v>
      </c>
      <c r="D1" t="s">
        <v>48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35</v>
      </c>
      <c r="K1" t="s">
        <v>89</v>
      </c>
      <c r="L1" t="s">
        <v>90</v>
      </c>
      <c r="M1" t="s">
        <v>33</v>
      </c>
      <c r="N1" t="s">
        <v>34</v>
      </c>
      <c r="O1" t="s">
        <v>13</v>
      </c>
      <c r="P1" t="s">
        <v>91</v>
      </c>
      <c r="Q1" t="s">
        <v>11</v>
      </c>
      <c r="R1" t="s">
        <v>92</v>
      </c>
      <c r="S1" t="s">
        <v>93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100</v>
      </c>
      <c r="AA1" t="s">
        <v>101</v>
      </c>
      <c r="AB1" t="s">
        <v>46</v>
      </c>
      <c r="AC1" t="s">
        <v>102</v>
      </c>
    </row>
    <row r="2" spans="1:29" ht="12.75">
      <c r="A2" s="23">
        <f>Main!C16</f>
        <v>404000</v>
      </c>
      <c r="B2" s="23">
        <f>Main!D16</f>
        <v>5341820</v>
      </c>
      <c r="C2" s="23">
        <f>Main!E16</f>
        <v>34</v>
      </c>
      <c r="D2">
        <f>6378137</f>
        <v>6378137</v>
      </c>
      <c r="E2">
        <v>0.08181919084693119</v>
      </c>
      <c r="F2">
        <f>500000</f>
        <v>500000</v>
      </c>
      <c r="G2">
        <v>0</v>
      </c>
      <c r="H2">
        <f>21+6*(C2-34)</f>
        <v>21</v>
      </c>
      <c r="I2">
        <f>H2*PI()/180</f>
        <v>0.3665191429188092</v>
      </c>
      <c r="J2">
        <v>0</v>
      </c>
      <c r="K2">
        <f>J2*PI()/180</f>
        <v>0</v>
      </c>
      <c r="L2">
        <v>0.9996</v>
      </c>
      <c r="M2">
        <f>A2-F2</f>
        <v>-96000</v>
      </c>
      <c r="N2">
        <f>B2-G2</f>
        <v>5341820</v>
      </c>
      <c r="O2">
        <f>(1-SQRT(1-E2*E2))/(1+SQRT(1-E2*E2))</f>
        <v>0.0016792203865612046</v>
      </c>
      <c r="P2">
        <f>D2*(K2*(1-E2*E2/4-3*POWER(E2,4)/64-5*POWER(E2,6)/256)-SIN(2*K2)*(3*E2*E2/8+3*POWER(E2,4)/32+45*POWER(E2,6)/1024)+SIN(4*K2)*(15*POWER(E2,4)/256+45*POWER(E2,6)/1024)-SIN(6*K2)*35*POWER(E2,6)/3072)</f>
        <v>0</v>
      </c>
      <c r="Q2">
        <f>P2+N2/L2</f>
        <v>5343957.583033213</v>
      </c>
      <c r="R2">
        <f>Q2/(D2*(1-E2*E2/4-3*POWER(E2,4)/64-5*POWER(E2,6)/256))</f>
        <v>0.8392619180043382</v>
      </c>
      <c r="S2">
        <f>R2+SIN(2*R2)*(3*O2/2-27*POWER(O2,3)/32)+SIN(4*R2)*(21*O2*O2/16-55*POWER(O2,4)/32)+SIN(6*R2)*151*POWER(O2,3)/96+SIN(8*R2)*1097*POWER(O2,4)/512</f>
        <v>0.8417653446666318</v>
      </c>
      <c r="T2">
        <f>E2*E2/(1-E2*E2)</f>
        <v>0.006739496742991205</v>
      </c>
      <c r="U2">
        <f>T2*COS(S2)*COS(S2)</f>
        <v>0.0029906660908427594</v>
      </c>
      <c r="V2">
        <f>TAN(S2)*TAN(S2)</f>
        <v>1.2535102677049577</v>
      </c>
      <c r="W2">
        <f>D2/SQRT(1-E2*E2*SIN(S2)*SIN(S2))</f>
        <v>6390045.513018176</v>
      </c>
      <c r="X2">
        <f>D2*(1-E2*E2)/POWER(1-E2*E2*SIN(S2)*SIN(S2),1.5)</f>
        <v>6370992.00326897</v>
      </c>
      <c r="Y2">
        <f>M2/(W2*L2)</f>
        <v>-0.015029378925469522</v>
      </c>
      <c r="Z2">
        <f>S2-(W2*TAN(S2)/X2)*(Y2*Y2/2-(5+3*V2+10*U2-4*U2*U2-9*T2)*POWER(Y2,4)/24+(61+90*V2+298*U2+45*V2*V2-252*T2-3*U2*U2)*POWER(Y2,6)/720)</f>
        <v>0.8416385381549092</v>
      </c>
      <c r="AA2">
        <f>I2+(Y2-(1+2*V2+U2)*POWER(Y2,3)/6+(5-2*U2+28*V2-3*U2*U2+8*T2+24*V2*V2)*POWER(Y2,5)/120)/COS(S2)</f>
        <v>0.3439604762533543</v>
      </c>
      <c r="AB2" s="24">
        <f>Z2*180/PI()</f>
        <v>48.222336111836604</v>
      </c>
      <c r="AC2" s="24">
        <f>AA2*180/PI()</f>
        <v>19.707483608626976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Timar</dc:creator>
  <cp:keywords/>
  <dc:description/>
  <cp:lastModifiedBy>Petr Urban</cp:lastModifiedBy>
  <dcterms:created xsi:type="dcterms:W3CDTF">2002-11-25T20:55:07Z</dcterms:created>
  <dcterms:modified xsi:type="dcterms:W3CDTF">2003-05-22T19:49:24Z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